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d.docs.live.net/deb78b34fcda226d/00_AcademyOfEMC/04_AcademyKnowhow/"/>
    </mc:Choice>
  </mc:AlternateContent>
  <xr:revisionPtr revIDLastSave="4203" documentId="8_{F8B5F5EF-B9E8-4580-AD57-3C36B03B1989}" xr6:coauthVersionLast="45" xr6:coauthVersionMax="45" xr10:uidLastSave="{954073D0-4D94-4182-9551-15974E2E3C33}"/>
  <bookViews>
    <workbookView xWindow="28680" yWindow="-120" windowWidth="29040" windowHeight="15840" tabRatio="806" activeTab="6" xr2:uid="{29F37781-52D5-4140-8886-2F2BBB17CA31}"/>
  </bookViews>
  <sheets>
    <sheet name=" dB⇄linear|Cable" sheetId="4" r:id="rId1"/>
    <sheet name=" dB⇄linear|Free-Space" sheetId="2" r:id="rId2"/>
    <sheet name="NearField|FarField" sheetId="8" r:id="rId3"/>
    <sheet name="Γ⇄RL⇄VSWR" sheetId="7" r:id="rId4"/>
    <sheet name="Wavelength" sheetId="9" r:id="rId5"/>
    <sheet name="e_r" sheetId="11" r:id="rId6"/>
    <sheet name="e_reff" sheetId="10" r:id="rId7"/>
    <sheet name="Antennas&amp;Radiation" sheetId="3"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1" i="10" l="1"/>
  <c r="C133" i="10"/>
  <c r="I70" i="10"/>
  <c r="I62" i="10"/>
  <c r="I54" i="10"/>
  <c r="I46" i="10"/>
  <c r="C62" i="10" l="1"/>
  <c r="C46" i="10"/>
  <c r="C91" i="10"/>
  <c r="C70" i="10" l="1"/>
  <c r="G62" i="10"/>
  <c r="H62" i="10"/>
  <c r="C54" i="10"/>
  <c r="G46" i="10"/>
  <c r="H46" i="10"/>
  <c r="C29" i="10"/>
  <c r="C27" i="8"/>
  <c r="H47" i="10" l="1"/>
  <c r="G47" i="10"/>
  <c r="F47" i="10"/>
  <c r="H54" i="10"/>
  <c r="G54" i="10"/>
  <c r="G63" i="10"/>
  <c r="F63" i="10"/>
  <c r="H63" i="10"/>
  <c r="H70" i="10"/>
  <c r="G70" i="10"/>
  <c r="C13" i="9"/>
  <c r="C11" i="9" s="1"/>
  <c r="I63" i="10" l="1"/>
  <c r="H64" i="10"/>
  <c r="F64" i="10"/>
  <c r="G64" i="10"/>
  <c r="H71" i="10"/>
  <c r="G71" i="10"/>
  <c r="F71" i="10"/>
  <c r="F48" i="10"/>
  <c r="I47" i="10"/>
  <c r="H48" i="10"/>
  <c r="G48" i="10"/>
  <c r="H55" i="10"/>
  <c r="F55" i="10"/>
  <c r="G55" i="10"/>
  <c r="C18" i="9"/>
  <c r="B50" i="3"/>
  <c r="I48" i="10" l="1"/>
  <c r="G49" i="10"/>
  <c r="F49" i="10"/>
  <c r="H49" i="10"/>
  <c r="H72" i="10"/>
  <c r="F72" i="10"/>
  <c r="G72" i="10"/>
  <c r="I71" i="10"/>
  <c r="I55" i="10"/>
  <c r="F56" i="10"/>
  <c r="G56" i="10"/>
  <c r="H56" i="10"/>
  <c r="F65" i="10"/>
  <c r="I64" i="10"/>
  <c r="G65" i="10"/>
  <c r="H65" i="10"/>
  <c r="H28" i="7"/>
  <c r="G73" i="10" l="1"/>
  <c r="I72" i="10"/>
  <c r="F73" i="10"/>
  <c r="H73" i="10"/>
  <c r="F66" i="10"/>
  <c r="I65" i="10"/>
  <c r="G66" i="10"/>
  <c r="H66" i="10"/>
  <c r="F50" i="10"/>
  <c r="I49" i="10"/>
  <c r="G50" i="10"/>
  <c r="H50" i="10"/>
  <c r="H57" i="10"/>
  <c r="G57" i="10"/>
  <c r="F57" i="10"/>
  <c r="I56" i="10"/>
  <c r="C24" i="7"/>
  <c r="F58" i="10" l="1"/>
  <c r="I57" i="10"/>
  <c r="G58" i="10"/>
  <c r="H58" i="10"/>
  <c r="G67" i="10"/>
  <c r="H67" i="10"/>
  <c r="F67" i="10"/>
  <c r="I66" i="10"/>
  <c r="G74" i="10"/>
  <c r="F74" i="10"/>
  <c r="I73" i="10"/>
  <c r="H74" i="10"/>
  <c r="I50" i="10"/>
  <c r="H51" i="10"/>
  <c r="G51" i="10"/>
  <c r="F51" i="10"/>
  <c r="F27" i="7"/>
  <c r="G27" i="7" s="1"/>
  <c r="I27" i="7"/>
  <c r="E32" i="7"/>
  <c r="J32" i="7" s="1"/>
  <c r="K32" i="7" s="1"/>
  <c r="E31" i="7"/>
  <c r="J31" i="7" s="1"/>
  <c r="K31" i="7" s="1"/>
  <c r="E30" i="7"/>
  <c r="J30" i="7" s="1"/>
  <c r="K30" i="7" s="1"/>
  <c r="E29" i="7"/>
  <c r="J27" i="7"/>
  <c r="K27" i="7" s="1"/>
  <c r="E28" i="7"/>
  <c r="I28" i="7" s="1"/>
  <c r="H27" i="7"/>
  <c r="F28" i="3"/>
  <c r="E29" i="3"/>
  <c r="I67" i="10" l="1"/>
  <c r="G68" i="10"/>
  <c r="H68" i="10"/>
  <c r="F68" i="10"/>
  <c r="I74" i="10"/>
  <c r="H75" i="10"/>
  <c r="F75" i="10"/>
  <c r="G75" i="10"/>
  <c r="I51" i="10"/>
  <c r="H52" i="10"/>
  <c r="F52" i="10"/>
  <c r="G52" i="10"/>
  <c r="H59" i="10"/>
  <c r="G59" i="10"/>
  <c r="F59" i="10"/>
  <c r="I58" i="10"/>
  <c r="J29" i="7"/>
  <c r="K29" i="7" s="1"/>
  <c r="F29" i="7"/>
  <c r="G29" i="7" s="1"/>
  <c r="I29" i="7"/>
  <c r="F30" i="7"/>
  <c r="G30" i="7" s="1"/>
  <c r="I30" i="7"/>
  <c r="F31" i="7"/>
  <c r="G31" i="7" s="1"/>
  <c r="H31" i="7"/>
  <c r="F32" i="7"/>
  <c r="G32" i="7" s="1"/>
  <c r="H32" i="7"/>
  <c r="J28" i="7"/>
  <c r="K28" i="7" s="1"/>
  <c r="B67" i="8"/>
  <c r="E67" i="8" s="1"/>
  <c r="B68" i="8"/>
  <c r="E68" i="8" s="1"/>
  <c r="B69" i="8"/>
  <c r="E69" i="8" s="1"/>
  <c r="B70" i="8"/>
  <c r="E70" i="8" s="1"/>
  <c r="B71" i="8"/>
  <c r="E71" i="8" s="1"/>
  <c r="B72" i="8"/>
  <c r="E72" i="8" s="1"/>
  <c r="B73" i="8"/>
  <c r="E73" i="8" s="1"/>
  <c r="B66" i="8"/>
  <c r="E66" i="8" s="1"/>
  <c r="G21" i="8"/>
  <c r="I75" i="10" l="1"/>
  <c r="H76" i="10"/>
  <c r="G76" i="10"/>
  <c r="F76" i="10"/>
  <c r="I59" i="10"/>
  <c r="G60" i="10"/>
  <c r="F60" i="10"/>
  <c r="H60" i="10"/>
  <c r="G69" i="10"/>
  <c r="I68" i="10"/>
  <c r="H69" i="10"/>
  <c r="F69" i="10"/>
  <c r="I69" i="10" s="1"/>
  <c r="F53" i="10"/>
  <c r="I53" i="10" s="1"/>
  <c r="I52" i="10"/>
  <c r="G53" i="10"/>
  <c r="H53" i="10"/>
  <c r="C73" i="8"/>
  <c r="F73" i="8"/>
  <c r="I60" i="10" l="1"/>
  <c r="H61" i="10"/>
  <c r="F61" i="10"/>
  <c r="I61" i="10" s="1"/>
  <c r="G61" i="10"/>
  <c r="F77" i="10"/>
  <c r="I77" i="10" s="1"/>
  <c r="I76" i="10"/>
  <c r="H77" i="10"/>
  <c r="G77" i="10"/>
  <c r="D73" i="8"/>
  <c r="C79" i="10" l="1"/>
  <c r="F66" i="8"/>
  <c r="D66" i="8"/>
  <c r="D67" i="8"/>
  <c r="D68" i="8"/>
  <c r="D69" i="8"/>
  <c r="D70" i="8"/>
  <c r="D71" i="8"/>
  <c r="D72" i="8"/>
  <c r="F69" i="8" l="1"/>
  <c r="F72" i="8"/>
  <c r="C68" i="8"/>
  <c r="F68" i="8"/>
  <c r="C71" i="8"/>
  <c r="F71" i="8"/>
  <c r="C67" i="8"/>
  <c r="F67" i="8"/>
  <c r="F70" i="8"/>
  <c r="C72" i="8"/>
  <c r="C66" i="8"/>
  <c r="C70" i="8"/>
  <c r="C69" i="8"/>
  <c r="I6" i="3" l="1"/>
  <c r="I33" i="4"/>
  <c r="J33" i="4" s="1"/>
  <c r="I32" i="4"/>
  <c r="K32" i="4" s="1"/>
  <c r="K31" i="4"/>
  <c r="J31" i="4"/>
  <c r="F31" i="4"/>
  <c r="H31" i="4" s="1"/>
  <c r="F30" i="4"/>
  <c r="G30" i="4" s="1"/>
  <c r="F29" i="4"/>
  <c r="I29" i="4" s="1"/>
  <c r="J29" i="4" s="1"/>
  <c r="I28" i="4"/>
  <c r="H28" i="4"/>
  <c r="G28" i="4"/>
  <c r="C28" i="4"/>
  <c r="G31" i="4" l="1"/>
  <c r="C31" i="4"/>
  <c r="E31" i="4" s="1"/>
  <c r="C30" i="4"/>
  <c r="D30" i="4" s="1"/>
  <c r="E28" i="4"/>
  <c r="D28" i="4"/>
  <c r="F32" i="4"/>
  <c r="C32" i="4" s="1"/>
  <c r="F33" i="4"/>
  <c r="D31" i="4"/>
  <c r="H29" i="4"/>
  <c r="C29" i="4"/>
  <c r="D29" i="4" s="1"/>
  <c r="I30" i="4"/>
  <c r="K30" i="4" s="1"/>
  <c r="J30" i="4"/>
  <c r="K29" i="4"/>
  <c r="E29" i="4"/>
  <c r="E30" i="4"/>
  <c r="J28" i="4"/>
  <c r="K28" i="4"/>
  <c r="C27" i="4"/>
  <c r="F27" i="4" s="1"/>
  <c r="E25" i="4"/>
  <c r="C26" i="4"/>
  <c r="F26" i="4" s="1"/>
  <c r="F25" i="4"/>
  <c r="I25" i="4" s="1"/>
  <c r="H32" i="4" l="1"/>
  <c r="D27" i="4"/>
  <c r="G26" i="4"/>
  <c r="I26" i="4"/>
  <c r="J26" i="4" s="1"/>
  <c r="H26" i="4"/>
  <c r="E26" i="4"/>
  <c r="K25" i="4"/>
  <c r="J25" i="4"/>
  <c r="G25" i="4"/>
  <c r="H25" i="4"/>
  <c r="E32" i="4"/>
  <c r="D32" i="4"/>
  <c r="G32" i="4"/>
  <c r="G33" i="4"/>
  <c r="H33" i="4"/>
  <c r="C33" i="4"/>
  <c r="I27" i="4"/>
  <c r="J27" i="4" s="1"/>
  <c r="G27" i="4"/>
  <c r="H27" i="4"/>
  <c r="D25" i="4"/>
  <c r="I13" i="2"/>
  <c r="L40" i="2"/>
  <c r="M40" i="2" s="1"/>
  <c r="L39" i="2"/>
  <c r="N37" i="2"/>
  <c r="L38" i="2"/>
  <c r="O38" i="2" s="1"/>
  <c r="O37" i="2"/>
  <c r="K26" i="4" l="1"/>
  <c r="D33" i="4"/>
  <c r="E33" i="4"/>
  <c r="K27" i="4"/>
  <c r="N38" i="2"/>
  <c r="M39" i="2"/>
  <c r="N40" i="2"/>
  <c r="G33" i="2"/>
  <c r="I33" i="2" s="1"/>
  <c r="G34" i="2"/>
  <c r="M37" i="2"/>
  <c r="G36" i="2"/>
  <c r="E36" i="2" s="1"/>
  <c r="K34" i="2"/>
  <c r="O39" i="2"/>
  <c r="E34" i="2"/>
  <c r="F34" i="2" s="1"/>
  <c r="H34" i="2"/>
  <c r="I35" i="2"/>
  <c r="H35" i="2" s="1"/>
  <c r="G35" i="2" s="1"/>
  <c r="E33" i="2"/>
  <c r="F33" i="2" s="1"/>
  <c r="K32" i="2"/>
  <c r="F30" i="2"/>
  <c r="J34" i="2"/>
  <c r="K35" i="2" l="1"/>
  <c r="E35" i="2"/>
  <c r="F35" i="2" s="1"/>
  <c r="H36" i="2"/>
  <c r="I36" i="2"/>
  <c r="J36" i="2" s="1"/>
  <c r="F36" i="2"/>
  <c r="J33" i="2"/>
  <c r="E31" i="2"/>
  <c r="E32" i="2"/>
  <c r="F32" i="2" s="1"/>
  <c r="H32" i="2"/>
  <c r="I32" i="2"/>
  <c r="J32" i="2" s="1"/>
  <c r="G30" i="2"/>
  <c r="I30" i="2" s="1"/>
  <c r="J30" i="2" s="1"/>
  <c r="C29" i="2"/>
  <c r="D28" i="2"/>
  <c r="C25" i="2"/>
  <c r="E39" i="2" l="1"/>
  <c r="E38" i="2"/>
  <c r="E37" i="2"/>
  <c r="C37" i="2" s="1"/>
  <c r="D37" i="2" s="1"/>
  <c r="E40" i="2"/>
  <c r="C34" i="2"/>
  <c r="C33" i="2"/>
  <c r="D33" i="2" s="1"/>
  <c r="C36" i="2"/>
  <c r="L36" i="2" s="1"/>
  <c r="N36" i="2" s="1"/>
  <c r="E29" i="2"/>
  <c r="L29" i="2" s="1"/>
  <c r="C35" i="2"/>
  <c r="D35" i="2" s="1"/>
  <c r="C31" i="2"/>
  <c r="D31" i="2" s="1"/>
  <c r="G31" i="2"/>
  <c r="C30" i="2"/>
  <c r="E28" i="2"/>
  <c r="L28" i="2" s="1"/>
  <c r="C32" i="2"/>
  <c r="D32" i="2" s="1"/>
  <c r="K33" i="2"/>
  <c r="H30" i="2"/>
  <c r="I31" i="2" l="1"/>
  <c r="J31" i="2" s="1"/>
  <c r="K31" i="2"/>
  <c r="L33" i="2"/>
  <c r="M33" i="2" s="1"/>
  <c r="C38" i="2"/>
  <c r="D38" i="2" s="1"/>
  <c r="F38" i="2"/>
  <c r="G38" i="2"/>
  <c r="C39" i="2"/>
  <c r="D39" i="2" s="1"/>
  <c r="G39" i="2"/>
  <c r="F39" i="2"/>
  <c r="L35" i="2"/>
  <c r="O35" i="2" s="1"/>
  <c r="D36" i="2"/>
  <c r="D34" i="2"/>
  <c r="L34" i="2"/>
  <c r="M28" i="2"/>
  <c r="O28" i="2"/>
  <c r="G40" i="2"/>
  <c r="F40" i="2"/>
  <c r="C40" i="2"/>
  <c r="D40" i="2" s="1"/>
  <c r="H31" i="2"/>
  <c r="F37" i="2"/>
  <c r="G37" i="2"/>
  <c r="M36" i="2"/>
  <c r="O36" i="2"/>
  <c r="F28" i="2"/>
  <c r="G28" i="2"/>
  <c r="I28" i="2" s="1"/>
  <c r="J28" i="2" s="1"/>
  <c r="L31" i="2"/>
  <c r="L32" i="2"/>
  <c r="M32" i="2" s="1"/>
  <c r="D30" i="2"/>
  <c r="L30" i="2"/>
  <c r="M30" i="2" s="1"/>
  <c r="N28" i="2"/>
  <c r="K30" i="2"/>
  <c r="G29" i="2"/>
  <c r="F29" i="2"/>
  <c r="M29" i="2"/>
  <c r="N29" i="2"/>
  <c r="O29" i="2"/>
  <c r="N33" i="2" l="1"/>
  <c r="O33" i="2"/>
  <c r="N35" i="2"/>
  <c r="M35" i="2"/>
  <c r="K39" i="2"/>
  <c r="I39" i="2"/>
  <c r="J39" i="2" s="1"/>
  <c r="H39" i="2"/>
  <c r="I40" i="2"/>
  <c r="J40" i="2" s="1"/>
  <c r="K40" i="2"/>
  <c r="H40" i="2"/>
  <c r="N31" i="2"/>
  <c r="M31" i="2"/>
  <c r="K37" i="2"/>
  <c r="I37" i="2"/>
  <c r="J37" i="2" s="1"/>
  <c r="H37" i="2"/>
  <c r="M34" i="2"/>
  <c r="O34" i="2"/>
  <c r="N34" i="2"/>
  <c r="I38" i="2"/>
  <c r="J38" i="2" s="1"/>
  <c r="K38" i="2"/>
  <c r="H38" i="2"/>
  <c r="K28" i="2"/>
  <c r="O30" i="2"/>
  <c r="H28" i="2"/>
  <c r="O31" i="2"/>
  <c r="N30" i="2"/>
  <c r="O32" i="2"/>
  <c r="N32" i="2"/>
  <c r="H29" i="2"/>
  <c r="I29" i="2"/>
  <c r="J29" i="2" s="1"/>
  <c r="K29" i="2"/>
  <c r="F23" i="9"/>
  <c r="G23" i="9" s="1"/>
  <c r="E24" i="9"/>
</calcChain>
</file>

<file path=xl/sharedStrings.xml><?xml version="1.0" encoding="utf-8"?>
<sst xmlns="http://schemas.openxmlformats.org/spreadsheetml/2006/main" count="662" uniqueCount="325">
  <si>
    <t xml:space="preserve">Decibel ⇄ Linear in Cable-Systems - Academy of EMC </t>
  </si>
  <si>
    <t>Version:</t>
  </si>
  <si>
    <t>1.00.00.2020</t>
  </si>
  <si>
    <t xml:space="preserve">Author: </t>
  </si>
  <si>
    <t>Reto Keller, Academy of EMC</t>
  </si>
  <si>
    <t>Date:</t>
  </si>
  <si>
    <t>2020-May-07</t>
  </si>
  <si>
    <t>This converter calculates dB values from linear values and vice versa.</t>
  </si>
  <si>
    <t xml:space="preserve">Assumptions: </t>
  </si>
  <si>
    <t>All values are root-mean-square (RMS) values, unless otherwise noted.</t>
  </si>
  <si>
    <t>Physical quantity</t>
  </si>
  <si>
    <t>Unit</t>
  </si>
  <si>
    <r>
      <t xml:space="preserve">Voltage </t>
    </r>
    <r>
      <rPr>
        <i/>
        <sz val="9"/>
        <color theme="1"/>
        <rFont val="Helvetica-Normal"/>
      </rPr>
      <t>V</t>
    </r>
  </si>
  <si>
    <t>[V]</t>
  </si>
  <si>
    <r>
      <t>Voltage level dBV, 20*log(</t>
    </r>
    <r>
      <rPr>
        <i/>
        <sz val="9"/>
        <color theme="1"/>
        <rFont val="Helvetica-Normal"/>
      </rPr>
      <t>V</t>
    </r>
    <r>
      <rPr>
        <sz val="9"/>
        <color theme="1"/>
        <rFont val="Helvetica-Normal"/>
      </rPr>
      <t>/1V)</t>
    </r>
  </si>
  <si>
    <t>[dBV]</t>
  </si>
  <si>
    <r>
      <t>Voltage level dBuV, 20*log(</t>
    </r>
    <r>
      <rPr>
        <i/>
        <sz val="9"/>
        <color theme="1"/>
        <rFont val="Helvetica-Normal"/>
      </rPr>
      <t>V</t>
    </r>
    <r>
      <rPr>
        <sz val="9"/>
        <color theme="1"/>
        <rFont val="Helvetica-Normal"/>
      </rPr>
      <t>/1uV)</t>
    </r>
  </si>
  <si>
    <t>[dBuV]</t>
  </si>
  <si>
    <r>
      <t xml:space="preserve">Current </t>
    </r>
    <r>
      <rPr>
        <i/>
        <sz val="9"/>
        <color theme="1"/>
        <rFont val="Helvetica-Normal"/>
      </rPr>
      <t>I</t>
    </r>
  </si>
  <si>
    <t>[A]</t>
  </si>
  <si>
    <r>
      <t>Current level dBA, 20*log(</t>
    </r>
    <r>
      <rPr>
        <i/>
        <sz val="9"/>
        <color theme="1"/>
        <rFont val="Helvetica-Normal"/>
      </rPr>
      <t>I</t>
    </r>
    <r>
      <rPr>
        <sz val="9"/>
        <color theme="1"/>
        <rFont val="Helvetica-Normal"/>
      </rPr>
      <t>/1A)</t>
    </r>
  </si>
  <si>
    <t>[dBA]</t>
  </si>
  <si>
    <r>
      <t>Current level dBuA, 20*log(</t>
    </r>
    <r>
      <rPr>
        <i/>
        <sz val="9"/>
        <color theme="1"/>
        <rFont val="Helvetica-Normal"/>
      </rPr>
      <t>I</t>
    </r>
    <r>
      <rPr>
        <sz val="9"/>
        <color theme="1"/>
        <rFont val="Helvetica-Normal"/>
      </rPr>
      <t>/1uA)</t>
    </r>
  </si>
  <si>
    <t>[dBuA]</t>
  </si>
  <si>
    <r>
      <t xml:space="preserve">Power </t>
    </r>
    <r>
      <rPr>
        <i/>
        <sz val="9"/>
        <color theme="1"/>
        <rFont val="Helvetica-Normal"/>
      </rPr>
      <t>P</t>
    </r>
  </si>
  <si>
    <t>[W]</t>
  </si>
  <si>
    <r>
      <t>Power level dBm, 20*log(</t>
    </r>
    <r>
      <rPr>
        <i/>
        <sz val="9"/>
        <color theme="1"/>
        <rFont val="Helvetica-Normal"/>
      </rPr>
      <t>P</t>
    </r>
    <r>
      <rPr>
        <sz val="9"/>
        <color theme="1"/>
        <rFont val="Helvetica-Normal"/>
      </rPr>
      <t>/1mW)</t>
    </r>
  </si>
  <si>
    <t>[dBm]</t>
  </si>
  <si>
    <r>
      <t>Power level dBm, 20*log(</t>
    </r>
    <r>
      <rPr>
        <i/>
        <sz val="9"/>
        <color theme="1"/>
        <rFont val="Helvetica-Normal"/>
      </rPr>
      <t>P</t>
    </r>
    <r>
      <rPr>
        <sz val="9"/>
        <color theme="1"/>
        <rFont val="Helvetica-Normal"/>
      </rPr>
      <t>/1uW)</t>
    </r>
  </si>
  <si>
    <t>[dBuW]</t>
  </si>
  <si>
    <t>Input parameters</t>
  </si>
  <si>
    <t>Value</t>
  </si>
  <si>
    <t>Remark</t>
  </si>
  <si>
    <r>
      <t xml:space="preserve">Reference impedance </t>
    </r>
    <r>
      <rPr>
        <b/>
        <i/>
        <sz val="9"/>
        <color theme="1"/>
        <rFont val="Helvetica-Normal"/>
      </rPr>
      <t>Z</t>
    </r>
    <r>
      <rPr>
        <b/>
        <i/>
        <vertAlign val="subscript"/>
        <sz val="9"/>
        <color theme="1"/>
        <rFont val="Helvetica-Normal"/>
      </rPr>
      <t>0</t>
    </r>
  </si>
  <si>
    <t>[Ohm]</t>
  </si>
  <si>
    <r>
      <t xml:space="preserve">Calculations below are based on the </t>
    </r>
    <r>
      <rPr>
        <i/>
        <sz val="9"/>
        <color theme="1"/>
        <rFont val="Helvetica-Normal"/>
      </rPr>
      <t>Z</t>
    </r>
    <r>
      <rPr>
        <i/>
        <vertAlign val="subscript"/>
        <sz val="9"/>
        <color theme="1"/>
        <rFont val="Helvetica-Normal"/>
      </rPr>
      <t>0</t>
    </r>
    <r>
      <rPr>
        <sz val="9"/>
        <color theme="1"/>
        <rFont val="Helvetica-Normal"/>
      </rPr>
      <t xml:space="preserve"> you set here.</t>
    </r>
  </si>
  <si>
    <t>Known input values</t>
  </si>
  <si>
    <t>Disclaimer: Your use of this Academy of EMC Excel-Sheet indicates that you accept full responsibility for the results produced, and that you agree to indemnify and hold harmless Reto Keller, Academy of EMC, and it assigns, for any damages that may result from its use.</t>
  </si>
  <si>
    <t xml:space="preserve">Decibel ⇄ Linear in Free-Space - Academy of EMC </t>
  </si>
  <si>
    <t>2020-May-05</t>
  </si>
  <si>
    <t>This field strength calculator converts different field strength units.</t>
  </si>
  <si>
    <t>Assumption: medium = air.</t>
  </si>
  <si>
    <t xml:space="preserve">Physical constants </t>
  </si>
  <si>
    <r>
      <t xml:space="preserve">Electric field strength </t>
    </r>
    <r>
      <rPr>
        <i/>
        <sz val="9"/>
        <color theme="1"/>
        <rFont val="Helvetica-Normal"/>
      </rPr>
      <t>E</t>
    </r>
  </si>
  <si>
    <t>[V/m]</t>
  </si>
  <si>
    <t>Speed of light</t>
  </si>
  <si>
    <t>[m/s]</t>
  </si>
  <si>
    <r>
      <rPr>
        <i/>
        <sz val="9"/>
        <color theme="1"/>
        <rFont val="Helvetica-Normal"/>
      </rPr>
      <t>E</t>
    </r>
    <r>
      <rPr>
        <sz val="9"/>
        <color theme="1"/>
        <rFont val="Helvetica-Normal"/>
      </rPr>
      <t xml:space="preserve"> field level, 20*log(</t>
    </r>
    <r>
      <rPr>
        <i/>
        <sz val="9"/>
        <color theme="1"/>
        <rFont val="Helvetica-Normal"/>
      </rPr>
      <t>E</t>
    </r>
    <r>
      <rPr>
        <sz val="9"/>
        <color theme="1"/>
        <rFont val="Helvetica-Normal"/>
      </rPr>
      <t>/1uV/m)</t>
    </r>
  </si>
  <si>
    <t>[dBuV/m]</t>
  </si>
  <si>
    <r>
      <t xml:space="preserve">Permittivity of vacuum </t>
    </r>
    <r>
      <rPr>
        <sz val="9"/>
        <color theme="1"/>
        <rFont val="Symbol"/>
        <family val="1"/>
        <charset val="2"/>
      </rPr>
      <t>e</t>
    </r>
    <r>
      <rPr>
        <vertAlign val="subscript"/>
        <sz val="9"/>
        <color theme="1"/>
        <rFont val="Helvetica-Normal"/>
      </rPr>
      <t>0</t>
    </r>
  </si>
  <si>
    <t>[F/m]</t>
  </si>
  <si>
    <t>Magnetic field strength H</t>
  </si>
  <si>
    <t>[A/m]</t>
  </si>
  <si>
    <r>
      <t xml:space="preserve">Permeability of vacuum </t>
    </r>
    <r>
      <rPr>
        <sz val="9"/>
        <color theme="1"/>
        <rFont val="Symbol"/>
        <family val="1"/>
        <charset val="2"/>
      </rPr>
      <t>m</t>
    </r>
    <r>
      <rPr>
        <vertAlign val="subscript"/>
        <sz val="9"/>
        <color theme="1"/>
        <rFont val="Helvetica-Normal"/>
      </rPr>
      <t>0</t>
    </r>
  </si>
  <si>
    <t>[H/m]</t>
  </si>
  <si>
    <r>
      <rPr>
        <i/>
        <sz val="9"/>
        <color theme="1"/>
        <rFont val="Helvetica-Normal"/>
      </rPr>
      <t>H</t>
    </r>
    <r>
      <rPr>
        <sz val="9"/>
        <color theme="1"/>
        <rFont val="Helvetica-Normal"/>
      </rPr>
      <t xml:space="preserve"> field level, 20*log(</t>
    </r>
    <r>
      <rPr>
        <i/>
        <sz val="9"/>
        <color theme="1"/>
        <rFont val="Helvetica-Normal"/>
      </rPr>
      <t>H</t>
    </r>
    <r>
      <rPr>
        <sz val="9"/>
        <color theme="1"/>
        <rFont val="Helvetica-Normal"/>
      </rPr>
      <t>/1uA/m)</t>
    </r>
  </si>
  <si>
    <t>[dBuA/m]</t>
  </si>
  <si>
    <r>
      <t xml:space="preserve">Magnetic flux density </t>
    </r>
    <r>
      <rPr>
        <i/>
        <sz val="9"/>
        <color theme="1"/>
        <rFont val="Helvetica-Normal"/>
      </rPr>
      <t>B</t>
    </r>
  </si>
  <si>
    <t>[T]</t>
  </si>
  <si>
    <r>
      <t xml:space="preserve">Magnetic flux density </t>
    </r>
    <r>
      <rPr>
        <i/>
        <sz val="9"/>
        <color theme="1"/>
        <rFont val="Helvetica-Normal"/>
      </rPr>
      <t>B</t>
    </r>
    <r>
      <rPr>
        <sz val="9"/>
        <color theme="1"/>
        <rFont val="Helvetica-Normal"/>
      </rPr>
      <t>*10e9</t>
    </r>
  </si>
  <si>
    <t>[pT]</t>
  </si>
  <si>
    <r>
      <t>Magnetic flux level, 20*log(</t>
    </r>
    <r>
      <rPr>
        <i/>
        <sz val="9"/>
        <color theme="1"/>
        <rFont val="Helvetica-Normal"/>
      </rPr>
      <t>B</t>
    </r>
    <r>
      <rPr>
        <sz val="9"/>
        <color theme="1"/>
        <rFont val="Helvetica-Normal"/>
      </rPr>
      <t>/1pT)</t>
    </r>
  </si>
  <si>
    <t>[dBpT]</t>
  </si>
  <si>
    <t>Gauss</t>
  </si>
  <si>
    <t>[Gs]</t>
  </si>
  <si>
    <r>
      <t xml:space="preserve">Power density </t>
    </r>
    <r>
      <rPr>
        <i/>
        <sz val="9"/>
        <color theme="1"/>
        <rFont val="Helvetica-Normal"/>
      </rPr>
      <t>S</t>
    </r>
  </si>
  <si>
    <r>
      <t>[W/m</t>
    </r>
    <r>
      <rPr>
        <vertAlign val="superscript"/>
        <sz val="9"/>
        <color theme="1"/>
        <rFont val="Helvetica-Normal"/>
      </rPr>
      <t>2</t>
    </r>
    <r>
      <rPr>
        <sz val="9"/>
        <color theme="1"/>
        <rFont val="Helvetica-Normal"/>
      </rPr>
      <t>]</t>
    </r>
  </si>
  <si>
    <r>
      <t>10*log(</t>
    </r>
    <r>
      <rPr>
        <i/>
        <sz val="9"/>
        <color theme="1"/>
        <rFont val="Helvetica-Normal"/>
      </rPr>
      <t>S</t>
    </r>
    <r>
      <rPr>
        <sz val="9"/>
        <color theme="1"/>
        <rFont val="Helvetica-Normal"/>
      </rPr>
      <t>)</t>
    </r>
  </si>
  <si>
    <r>
      <t>[dBW/m</t>
    </r>
    <r>
      <rPr>
        <vertAlign val="superscript"/>
        <sz val="9"/>
        <color theme="1"/>
        <rFont val="Helvetica-Normal"/>
      </rPr>
      <t>2</t>
    </r>
    <r>
      <rPr>
        <sz val="9"/>
        <color theme="1"/>
        <rFont val="Helvetica-Normal"/>
      </rPr>
      <t>]</t>
    </r>
  </si>
  <si>
    <r>
      <t>Power level, 10*log(</t>
    </r>
    <r>
      <rPr>
        <i/>
        <sz val="9"/>
        <color theme="1"/>
        <rFont val="Helvetica-Normal"/>
      </rPr>
      <t>S</t>
    </r>
    <r>
      <rPr>
        <sz val="9"/>
        <color theme="1"/>
        <rFont val="Helvetica-Normal"/>
      </rPr>
      <t>/1mW)</t>
    </r>
  </si>
  <si>
    <r>
      <t>[dBm/m</t>
    </r>
    <r>
      <rPr>
        <vertAlign val="superscript"/>
        <sz val="9"/>
        <color theme="1"/>
        <rFont val="Helvetica-Normal"/>
      </rPr>
      <t>2</t>
    </r>
    <r>
      <rPr>
        <sz val="9"/>
        <color theme="1"/>
        <rFont val="Helvetica-Normal"/>
      </rPr>
      <t>]</t>
    </r>
  </si>
  <si>
    <r>
      <t xml:space="preserve">Power density </t>
    </r>
    <r>
      <rPr>
        <i/>
        <sz val="9"/>
        <color theme="1"/>
        <rFont val="Helvetica-Normal"/>
      </rPr>
      <t>S</t>
    </r>
    <r>
      <rPr>
        <sz val="9"/>
        <color theme="1"/>
        <rFont val="Helvetica-Normal"/>
      </rPr>
      <t xml:space="preserve"> per cm</t>
    </r>
    <r>
      <rPr>
        <vertAlign val="superscript"/>
        <sz val="9"/>
        <color theme="1"/>
        <rFont val="Helvetica-Normal"/>
      </rPr>
      <t>2</t>
    </r>
  </si>
  <si>
    <r>
      <t>[mW/cm</t>
    </r>
    <r>
      <rPr>
        <vertAlign val="superscript"/>
        <sz val="9"/>
        <color theme="1"/>
        <rFont val="Helvetica-Normal"/>
      </rPr>
      <t>2</t>
    </r>
    <r>
      <rPr>
        <sz val="9"/>
        <color theme="1"/>
        <rFont val="Helvetica-Normal"/>
      </rPr>
      <t>]</t>
    </r>
  </si>
  <si>
    <r>
      <t>Wave impedance Z</t>
    </r>
    <r>
      <rPr>
        <vertAlign val="subscript"/>
        <sz val="9"/>
        <color theme="1"/>
        <rFont val="Helvetica-Normal"/>
      </rPr>
      <t>W</t>
    </r>
  </si>
  <si>
    <r>
      <t xml:space="preserve">Calculations below are based on the </t>
    </r>
    <r>
      <rPr>
        <i/>
        <sz val="9"/>
        <color theme="1"/>
        <rFont val="Helvetica-Normal"/>
      </rPr>
      <t>Z</t>
    </r>
    <r>
      <rPr>
        <i/>
        <vertAlign val="subscript"/>
        <sz val="9"/>
        <color theme="1"/>
        <rFont val="Helvetica-Normal"/>
      </rPr>
      <t>W</t>
    </r>
    <r>
      <rPr>
        <sz val="9"/>
        <color theme="1"/>
        <rFont val="Helvetica-Normal"/>
      </rPr>
      <t xml:space="preserve"> = </t>
    </r>
    <r>
      <rPr>
        <i/>
        <sz val="9"/>
        <color theme="1"/>
        <rFont val="Helvetica-Normal"/>
      </rPr>
      <t>E</t>
    </r>
    <r>
      <rPr>
        <sz val="9"/>
        <color theme="1"/>
        <rFont val="Helvetica-Normal"/>
      </rPr>
      <t>/</t>
    </r>
    <r>
      <rPr>
        <i/>
        <sz val="9"/>
        <color theme="1"/>
        <rFont val="Helvetica-Normal"/>
      </rPr>
      <t>H</t>
    </r>
    <r>
      <rPr>
        <sz val="9"/>
        <color theme="1"/>
        <rFont val="Helvetica-Normal"/>
      </rPr>
      <t xml:space="preserve"> you set here. Set </t>
    </r>
    <r>
      <rPr>
        <i/>
        <sz val="9"/>
        <color theme="1"/>
        <rFont val="Helvetica-Normal"/>
      </rPr>
      <t>Z</t>
    </r>
    <r>
      <rPr>
        <i/>
        <vertAlign val="subscript"/>
        <sz val="9"/>
        <color theme="1"/>
        <rFont val="Helvetica-Normal"/>
      </rPr>
      <t>W</t>
    </r>
    <r>
      <rPr>
        <sz val="9"/>
        <color theme="1"/>
        <rFont val="Helvetica-Normal"/>
      </rPr>
      <t xml:space="preserve"> = 377[Ohm] for free-space (far-field).</t>
    </r>
  </si>
  <si>
    <t>[mT]</t>
  </si>
  <si>
    <t>10</t>
  </si>
  <si>
    <t>140</t>
  </si>
  <si>
    <t>0.02654</t>
  </si>
  <si>
    <t>88.4793</t>
  </si>
  <si>
    <t>90.4635</t>
  </si>
  <si>
    <t>0.000334</t>
  </si>
  <si>
    <t>0.26544</t>
  </si>
  <si>
    <t>-5.76035</t>
  </si>
  <si>
    <t>24.2396</t>
  </si>
  <si>
    <t>0.026544</t>
  </si>
  <si>
    <t>Near-Field | Far-Field - Academy of EMC</t>
  </si>
  <si>
    <t>2020-Jun-14</t>
  </si>
  <si>
    <t>Ideal Electrical Hertzian Dipole vs. Real Antennas</t>
  </si>
  <si>
    <r>
      <t>For an ideal</t>
    </r>
    <r>
      <rPr>
        <b/>
        <sz val="9"/>
        <color theme="1"/>
        <rFont val="Helvetica-Normal"/>
      </rPr>
      <t xml:space="preserve"> Hertzian Dipole (indefinitely small) </t>
    </r>
    <r>
      <rPr>
        <sz val="9"/>
        <color theme="1"/>
        <rFont val="Helvetica-Normal"/>
      </rPr>
      <t xml:space="preserve">the near-field to far-field boundary is defined as </t>
    </r>
    <r>
      <rPr>
        <i/>
        <sz val="9"/>
        <color theme="1"/>
        <rFont val="Helvetica-Normal"/>
      </rPr>
      <t>d</t>
    </r>
    <r>
      <rPr>
        <sz val="9"/>
        <color theme="1"/>
        <rFont val="Helvetica-Normal"/>
      </rPr>
      <t>=</t>
    </r>
    <r>
      <rPr>
        <sz val="9"/>
        <color theme="1"/>
        <rFont val="Symbol"/>
        <family val="1"/>
        <charset val="2"/>
      </rPr>
      <t>l</t>
    </r>
    <r>
      <rPr>
        <sz val="9"/>
        <color theme="1"/>
        <rFont val="Helvetica-Normal"/>
      </rPr>
      <t>/(2*</t>
    </r>
    <r>
      <rPr>
        <sz val="9"/>
        <color theme="1"/>
        <rFont val="Symbol"/>
        <family val="1"/>
        <charset val="2"/>
      </rPr>
      <t>p</t>
    </r>
    <r>
      <rPr>
        <sz val="9"/>
        <color theme="1"/>
        <rFont val="Helvetica-Normal"/>
      </rPr>
      <t xml:space="preserve">). </t>
    </r>
  </si>
  <si>
    <r>
      <t xml:space="preserve">In practice, the boundary between near- and far-field depends on the </t>
    </r>
    <r>
      <rPr>
        <b/>
        <sz val="9"/>
        <color theme="1"/>
        <rFont val="Helvetica-Normal"/>
      </rPr>
      <t xml:space="preserve">wavelength </t>
    </r>
    <r>
      <rPr>
        <b/>
        <i/>
        <sz val="9"/>
        <color theme="1"/>
        <rFont val="Symbol"/>
        <family val="1"/>
        <charset val="2"/>
      </rPr>
      <t xml:space="preserve">l </t>
    </r>
    <r>
      <rPr>
        <b/>
        <sz val="9"/>
        <color theme="1"/>
        <rFont val="Helvetica-Normal"/>
      </rPr>
      <t xml:space="preserve">[m] </t>
    </r>
    <r>
      <rPr>
        <sz val="9"/>
        <color theme="1"/>
        <rFont val="Helvetica-Normal"/>
      </rPr>
      <t xml:space="preserve">and the maximum </t>
    </r>
    <r>
      <rPr>
        <b/>
        <sz val="9"/>
        <color theme="1"/>
        <rFont val="Helvetica-Normal"/>
      </rPr>
      <t xml:space="preserve">dimension </t>
    </r>
    <r>
      <rPr>
        <b/>
        <i/>
        <sz val="9"/>
        <color theme="1"/>
        <rFont val="Helvetica-Normal"/>
      </rPr>
      <t>D</t>
    </r>
    <r>
      <rPr>
        <b/>
        <sz val="9"/>
        <color theme="1"/>
        <rFont val="Helvetica-Normal"/>
      </rPr>
      <t xml:space="preserve"> [m]</t>
    </r>
    <r>
      <rPr>
        <sz val="9"/>
        <color theme="1"/>
        <rFont val="Helvetica-Normal"/>
      </rPr>
      <t xml:space="preserve"> of the antenna.</t>
    </r>
  </si>
  <si>
    <r>
      <t xml:space="preserve">The areas around a transmitting antenna can be roughly categorized in three parts: </t>
    </r>
    <r>
      <rPr>
        <b/>
        <sz val="9"/>
        <color theme="1"/>
        <rFont val="Helvetica-Normal"/>
      </rPr>
      <t>reactive near-field, radiative near-field, far-field.</t>
    </r>
  </si>
  <si>
    <r>
      <t>Electrically small antennas (</t>
    </r>
    <r>
      <rPr>
        <b/>
        <i/>
        <sz val="9"/>
        <color theme="1"/>
        <rFont val="Helvetica-Normal"/>
      </rPr>
      <t>D</t>
    </r>
    <r>
      <rPr>
        <b/>
        <sz val="9"/>
        <color theme="1"/>
        <rFont val="Helvetica-Normal"/>
      </rPr>
      <t>&lt;</t>
    </r>
    <r>
      <rPr>
        <b/>
        <i/>
        <sz val="9"/>
        <color theme="1"/>
        <rFont val="Symbol"/>
        <family val="1"/>
        <charset val="2"/>
      </rPr>
      <t>l</t>
    </r>
    <r>
      <rPr>
        <b/>
        <sz val="9"/>
        <color theme="1"/>
        <rFont val="Helvetica-Normal"/>
      </rPr>
      <t>/2)</t>
    </r>
  </si>
  <si>
    <r>
      <t>Electrically small antennas (</t>
    </r>
    <r>
      <rPr>
        <i/>
        <sz val="9"/>
        <color theme="1"/>
        <rFont val="Helvetica-Normal"/>
      </rPr>
      <t>D</t>
    </r>
    <r>
      <rPr>
        <sz val="9"/>
        <color theme="1"/>
        <rFont val="Helvetica-Normal"/>
      </rPr>
      <t>&lt;</t>
    </r>
    <r>
      <rPr>
        <i/>
        <sz val="9"/>
        <color theme="1"/>
        <rFont val="Symbol"/>
        <family val="1"/>
        <charset val="2"/>
      </rPr>
      <t>l</t>
    </r>
    <r>
      <rPr>
        <sz val="9"/>
        <color theme="1"/>
        <rFont val="Helvetica-Normal"/>
      </rPr>
      <t>/2), have a reactive near-field, but no significant radiative near-field or far-field.</t>
    </r>
  </si>
  <si>
    <r>
      <t>Electrically large antennas (</t>
    </r>
    <r>
      <rPr>
        <b/>
        <i/>
        <sz val="9"/>
        <color theme="1"/>
        <rFont val="Helvetica-Normal"/>
      </rPr>
      <t>D</t>
    </r>
    <r>
      <rPr>
        <b/>
        <sz val="9"/>
        <color theme="1"/>
        <rFont val="Helvetica-Normal"/>
      </rPr>
      <t>&gt;</t>
    </r>
    <r>
      <rPr>
        <b/>
        <i/>
        <sz val="9"/>
        <color theme="1"/>
        <rFont val="Symbol"/>
        <family val="1"/>
        <charset val="2"/>
      </rPr>
      <t>l</t>
    </r>
    <r>
      <rPr>
        <b/>
        <sz val="9"/>
        <color theme="1"/>
        <rFont val="Helvetica-Normal"/>
      </rPr>
      <t>/2)</t>
    </r>
  </si>
  <si>
    <r>
      <t>Electrically large antennas (</t>
    </r>
    <r>
      <rPr>
        <i/>
        <sz val="9"/>
        <color theme="1"/>
        <rFont val="Helvetica-Normal"/>
      </rPr>
      <t>D</t>
    </r>
    <r>
      <rPr>
        <sz val="9"/>
        <color theme="1"/>
        <rFont val="Helvetica-Normal"/>
      </rPr>
      <t>&gt;</t>
    </r>
    <r>
      <rPr>
        <i/>
        <sz val="9"/>
        <color theme="1"/>
        <rFont val="Symbol"/>
        <family val="1"/>
        <charset val="2"/>
      </rPr>
      <t>l</t>
    </r>
    <r>
      <rPr>
        <sz val="9"/>
        <color theme="1"/>
        <rFont val="Helvetica-Normal"/>
      </rPr>
      <t>/2), have all three categories of fields: reactive near-field, radiative near-field, far-field.</t>
    </r>
  </si>
  <si>
    <r>
      <t xml:space="preserve">Frequency </t>
    </r>
    <r>
      <rPr>
        <i/>
        <sz val="9"/>
        <color theme="1"/>
        <rFont val="Helvetica-Normal"/>
      </rPr>
      <t>f</t>
    </r>
  </si>
  <si>
    <t>[Hz]</t>
  </si>
  <si>
    <r>
      <t xml:space="preserve">Speed of light </t>
    </r>
    <r>
      <rPr>
        <i/>
        <sz val="9"/>
        <color theme="1"/>
        <rFont val="Helvetica-Normal"/>
      </rPr>
      <t>c</t>
    </r>
  </si>
  <si>
    <r>
      <t xml:space="preserve">Wavelength </t>
    </r>
    <r>
      <rPr>
        <i/>
        <sz val="9"/>
        <color theme="1"/>
        <rFont val="Symbol"/>
        <family val="1"/>
        <charset val="2"/>
      </rPr>
      <t>l</t>
    </r>
  </si>
  <si>
    <t>[m]</t>
  </si>
  <si>
    <r>
      <t xml:space="preserve">Relative permittivity </t>
    </r>
    <r>
      <rPr>
        <sz val="9"/>
        <color theme="1"/>
        <rFont val="Symbol"/>
        <family val="1"/>
        <charset val="2"/>
      </rPr>
      <t>e</t>
    </r>
    <r>
      <rPr>
        <vertAlign val="subscript"/>
        <sz val="9"/>
        <color theme="1"/>
        <rFont val="Helvetica-Normal"/>
      </rPr>
      <t>r</t>
    </r>
  </si>
  <si>
    <t>1</t>
  </si>
  <si>
    <t>[1]</t>
  </si>
  <si>
    <r>
      <t xml:space="preserve">Relative permeability </t>
    </r>
    <r>
      <rPr>
        <sz val="9"/>
        <color theme="1"/>
        <rFont val="Symbol"/>
        <family val="1"/>
        <charset val="2"/>
      </rPr>
      <t>m</t>
    </r>
    <r>
      <rPr>
        <vertAlign val="subscript"/>
        <sz val="9"/>
        <color theme="1"/>
        <rFont val="Helvetica-Normal"/>
      </rPr>
      <t>r</t>
    </r>
  </si>
  <si>
    <r>
      <t xml:space="preserve">Maximum dimension </t>
    </r>
    <r>
      <rPr>
        <i/>
        <sz val="9"/>
        <color theme="1"/>
        <rFont val="Helvetica-Normal"/>
      </rPr>
      <t>D</t>
    </r>
  </si>
  <si>
    <r>
      <t xml:space="preserve">Maximum linear dimension </t>
    </r>
    <r>
      <rPr>
        <i/>
        <sz val="9"/>
        <color theme="1"/>
        <rFont val="Helvetica-Normal"/>
      </rPr>
      <t>D</t>
    </r>
    <r>
      <rPr>
        <sz val="9"/>
        <color theme="1"/>
        <rFont val="Helvetica-Normal"/>
      </rPr>
      <t xml:space="preserve"> (aperture, length) of the antenna. </t>
    </r>
  </si>
  <si>
    <r>
      <rPr>
        <i/>
        <sz val="9"/>
        <color theme="1"/>
        <rFont val="Helvetica-Normal"/>
      </rPr>
      <t>f</t>
    </r>
    <r>
      <rPr>
        <sz val="9"/>
        <color theme="1"/>
        <rFont val="Helvetica-Normal"/>
      </rPr>
      <t xml:space="preserve"> where </t>
    </r>
    <r>
      <rPr>
        <i/>
        <sz val="9"/>
        <color theme="1"/>
        <rFont val="Helvetica-Normal"/>
      </rPr>
      <t>D</t>
    </r>
    <r>
      <rPr>
        <sz val="9"/>
        <color theme="1"/>
        <rFont val="Helvetica-Normal"/>
      </rPr>
      <t xml:space="preserve">= </t>
    </r>
    <r>
      <rPr>
        <sz val="9"/>
        <color theme="1"/>
        <rFont val="Symbol"/>
        <family val="1"/>
        <charset val="2"/>
      </rPr>
      <t>l</t>
    </r>
    <r>
      <rPr>
        <sz val="9"/>
        <color theme="1"/>
        <rFont val="Helvetica-Normal"/>
      </rPr>
      <t>/2</t>
    </r>
  </si>
  <si>
    <r>
      <t xml:space="preserve">Frequency </t>
    </r>
    <r>
      <rPr>
        <i/>
        <sz val="9"/>
        <color theme="1"/>
        <rFont val="Helvetica-Normal"/>
      </rPr>
      <t>f</t>
    </r>
    <r>
      <rPr>
        <sz val="9"/>
        <color theme="1"/>
        <rFont val="Helvetica-Normal"/>
      </rPr>
      <t xml:space="preserve"> at which the antenna with dimension </t>
    </r>
    <r>
      <rPr>
        <i/>
        <sz val="9"/>
        <color theme="1"/>
        <rFont val="Helvetica-Normal"/>
      </rPr>
      <t>D</t>
    </r>
    <r>
      <rPr>
        <sz val="9"/>
        <color theme="1"/>
        <rFont val="Helvetica-Normal"/>
      </rPr>
      <t xml:space="preserve"> starts to be a good radiator.</t>
    </r>
  </si>
  <si>
    <t>Frequency and Wavelength</t>
  </si>
  <si>
    <r>
      <t>Electrically small antennas (D&lt;</t>
    </r>
    <r>
      <rPr>
        <b/>
        <sz val="9"/>
        <rFont val="Symbol"/>
        <family val="1"/>
        <charset val="2"/>
      </rPr>
      <t>l</t>
    </r>
    <r>
      <rPr>
        <b/>
        <sz val="9"/>
        <rFont val="Helvetica-Normal"/>
      </rPr>
      <t>/2)</t>
    </r>
  </si>
  <si>
    <r>
      <t>Electrically large antennas (D&gt;</t>
    </r>
    <r>
      <rPr>
        <b/>
        <sz val="9"/>
        <rFont val="Symbol"/>
        <family val="1"/>
        <charset val="2"/>
      </rPr>
      <t>l</t>
    </r>
    <r>
      <rPr>
        <b/>
        <sz val="9"/>
        <rFont val="Helvetica-Normal"/>
      </rPr>
      <t>/2)</t>
    </r>
  </si>
  <si>
    <r>
      <rPr>
        <b/>
        <i/>
        <sz val="9"/>
        <color theme="1"/>
        <rFont val="Helvetica-Normal"/>
      </rPr>
      <t>f</t>
    </r>
    <r>
      <rPr>
        <b/>
        <sz val="9"/>
        <color theme="1"/>
        <rFont val="Helvetica-Normal"/>
      </rPr>
      <t xml:space="preserve"> [Hz]</t>
    </r>
  </si>
  <si>
    <r>
      <t xml:space="preserve"> </t>
    </r>
    <r>
      <rPr>
        <b/>
        <sz val="9"/>
        <color theme="1"/>
        <rFont val="Symbol"/>
        <family val="1"/>
        <charset val="2"/>
      </rPr>
      <t>l</t>
    </r>
    <r>
      <rPr>
        <b/>
        <sz val="9"/>
        <color theme="1"/>
        <rFont val="Helvetica-Normal"/>
      </rPr>
      <t xml:space="preserve"> [m]</t>
    </r>
  </si>
  <si>
    <r>
      <rPr>
        <b/>
        <sz val="9"/>
        <color theme="1"/>
        <rFont val="Symbol"/>
        <family val="1"/>
        <charset val="2"/>
      </rPr>
      <t>l</t>
    </r>
    <r>
      <rPr>
        <b/>
        <sz val="9"/>
        <color theme="1"/>
        <rFont val="Helvetica-Normal"/>
      </rPr>
      <t>/2 [m]</t>
    </r>
  </si>
  <si>
    <t>Reactive Near Field Boundary [m]</t>
  </si>
  <si>
    <t>Radiative Near Field Boundary [m]</t>
  </si>
  <si>
    <t>EIRP</t>
  </si>
  <si>
    <t>[mW], [dBm]</t>
  </si>
  <si>
    <t>ERP</t>
  </si>
  <si>
    <r>
      <t xml:space="preserve">Wavelength </t>
    </r>
    <r>
      <rPr>
        <b/>
        <sz val="9"/>
        <color theme="1"/>
        <rFont val="Symbol"/>
        <family val="1"/>
        <charset val="2"/>
      </rPr>
      <t xml:space="preserve">l </t>
    </r>
    <r>
      <rPr>
        <b/>
        <sz val="9"/>
        <color theme="1"/>
        <rFont val="Helvetica-Normal"/>
      </rPr>
      <t xml:space="preserve">[m] vs. Frequency </t>
    </r>
    <r>
      <rPr>
        <b/>
        <i/>
        <sz val="9"/>
        <color theme="1"/>
        <rFont val="Helvetica-Normal"/>
      </rPr>
      <t>f</t>
    </r>
    <r>
      <rPr>
        <b/>
        <sz val="9"/>
        <color theme="1"/>
        <rFont val="Helvetica-Normal"/>
      </rPr>
      <t xml:space="preserve"> [Hz]</t>
    </r>
  </si>
  <si>
    <r>
      <t xml:space="preserve">Calculation of the wavelength </t>
    </r>
    <r>
      <rPr>
        <i/>
        <sz val="9"/>
        <color theme="1"/>
        <rFont val="Symbol"/>
        <family val="1"/>
        <charset val="2"/>
      </rPr>
      <t>l</t>
    </r>
    <r>
      <rPr>
        <sz val="9"/>
        <color theme="1"/>
        <rFont val="Helvetica-Normal"/>
      </rPr>
      <t xml:space="preserve"> for a given frequency </t>
    </r>
    <r>
      <rPr>
        <i/>
        <sz val="9"/>
        <color theme="1"/>
        <rFont val="Helvetica-Normal"/>
      </rPr>
      <t>f</t>
    </r>
    <r>
      <rPr>
        <sz val="9"/>
        <color theme="1"/>
        <rFont val="Helvetica-Normal"/>
      </rPr>
      <t xml:space="preserve"> and ivce versa of an electromagnetic wave in a media with </t>
    </r>
    <r>
      <rPr>
        <sz val="9"/>
        <color theme="1"/>
        <rFont val="Symbol"/>
        <family val="1"/>
        <charset val="2"/>
      </rPr>
      <t>e</t>
    </r>
    <r>
      <rPr>
        <vertAlign val="subscript"/>
        <sz val="9"/>
        <color theme="1"/>
        <rFont val="Helvetica-Normal"/>
      </rPr>
      <t>r</t>
    </r>
    <r>
      <rPr>
        <sz val="9"/>
        <color theme="1"/>
        <rFont val="Helvetica-Normal"/>
      </rPr>
      <t xml:space="preserve"> and </t>
    </r>
    <r>
      <rPr>
        <sz val="9"/>
        <color theme="1"/>
        <rFont val="Symbol"/>
        <family val="1"/>
        <charset val="2"/>
      </rPr>
      <t>m</t>
    </r>
    <r>
      <rPr>
        <vertAlign val="subscript"/>
        <sz val="9"/>
        <color theme="1"/>
        <rFont val="Helvetica-Normal"/>
      </rPr>
      <t>r</t>
    </r>
    <r>
      <rPr>
        <sz val="9"/>
        <color theme="1"/>
        <rFont val="Helvetica-Normal"/>
      </rPr>
      <t>.</t>
    </r>
  </si>
  <si>
    <r>
      <t xml:space="preserve">Wavelength depends on relative permittivity </t>
    </r>
    <r>
      <rPr>
        <sz val="9"/>
        <color theme="1"/>
        <rFont val="Symbol"/>
        <family val="1"/>
        <charset val="2"/>
      </rPr>
      <t>e</t>
    </r>
    <r>
      <rPr>
        <vertAlign val="subscript"/>
        <sz val="9"/>
        <color theme="1"/>
        <rFont val="Helvetica-Normal"/>
      </rPr>
      <t>r</t>
    </r>
    <r>
      <rPr>
        <sz val="9"/>
        <color theme="1"/>
        <rFont val="Helvetica-Normal"/>
      </rPr>
      <t xml:space="preserve"> (set 1 for air)</t>
    </r>
  </si>
  <si>
    <r>
      <t xml:space="preserve">Wavelength depends on relative permeability </t>
    </r>
    <r>
      <rPr>
        <sz val="9"/>
        <color theme="1"/>
        <rFont val="Symbol"/>
        <family val="1"/>
        <charset val="2"/>
      </rPr>
      <t>m</t>
    </r>
    <r>
      <rPr>
        <vertAlign val="subscript"/>
        <sz val="9"/>
        <color theme="1"/>
        <rFont val="Helvetica-Normal"/>
      </rPr>
      <t>r</t>
    </r>
    <r>
      <rPr>
        <sz val="9"/>
        <color theme="1"/>
        <rFont val="Helvetica-Normal"/>
      </rPr>
      <t xml:space="preserve"> (set 1 for air)</t>
    </r>
  </si>
  <si>
    <r>
      <rPr>
        <b/>
        <i/>
        <sz val="9"/>
        <color theme="1"/>
        <rFont val="Symbol"/>
        <family val="1"/>
        <charset val="2"/>
      </rPr>
      <t>l</t>
    </r>
    <r>
      <rPr>
        <b/>
        <sz val="9"/>
        <color theme="1"/>
        <rFont val="Helvetica-Normal"/>
      </rPr>
      <t xml:space="preserve"> [m]</t>
    </r>
  </si>
  <si>
    <t>1000e6</t>
  </si>
  <si>
    <r>
      <rPr>
        <i/>
        <sz val="9"/>
        <color theme="1"/>
        <rFont val="Helvetica-Normal"/>
      </rPr>
      <t>f</t>
    </r>
    <r>
      <rPr>
        <sz val="9"/>
        <color theme="1"/>
        <rFont val="Helvetica-Normal"/>
      </rPr>
      <t xml:space="preserve"> [Hz]</t>
    </r>
  </si>
  <si>
    <r>
      <t xml:space="preserve">Set </t>
    </r>
    <r>
      <rPr>
        <sz val="9"/>
        <color theme="1"/>
        <rFont val="Symbol"/>
        <family val="1"/>
        <charset val="2"/>
      </rPr>
      <t>e</t>
    </r>
    <r>
      <rPr>
        <vertAlign val="subscript"/>
        <sz val="9"/>
        <color theme="1"/>
        <rFont val="Helvetica-Normal"/>
      </rPr>
      <t>r</t>
    </r>
    <r>
      <rPr>
        <sz val="9"/>
        <color theme="1"/>
        <rFont val="Helvetica-Normal"/>
      </rPr>
      <t xml:space="preserve"> and </t>
    </r>
    <r>
      <rPr>
        <sz val="9"/>
        <color theme="1"/>
        <rFont val="Symbol"/>
        <family val="1"/>
        <charset val="2"/>
      </rPr>
      <t>m</t>
    </r>
    <r>
      <rPr>
        <vertAlign val="subscript"/>
        <sz val="9"/>
        <color theme="1"/>
        <rFont val="Helvetica-Normal"/>
      </rPr>
      <t>r</t>
    </r>
    <r>
      <rPr>
        <sz val="9"/>
        <color theme="1"/>
        <rFont val="Helvetica-Normal"/>
      </rPr>
      <t xml:space="preserve"> above</t>
    </r>
  </si>
  <si>
    <t>0.141</t>
  </si>
  <si>
    <t>Radiated Power Calculator</t>
  </si>
  <si>
    <t>EIRP [mW]</t>
  </si>
  <si>
    <t>EIRP [dBm]</t>
  </si>
  <si>
    <t>ERP [mW]</t>
  </si>
  <si>
    <t>ERP [dBm]</t>
  </si>
  <si>
    <t>[dBuV/m] @ 3m</t>
  </si>
  <si>
    <t>[dBuV/m] @ 10m</t>
  </si>
  <si>
    <t>More will follow</t>
  </si>
  <si>
    <r>
      <t>Impedance Matching Calculations (</t>
    </r>
    <r>
      <rPr>
        <b/>
        <sz val="9"/>
        <color theme="1"/>
        <rFont val="Symbol"/>
        <family val="1"/>
        <charset val="2"/>
      </rPr>
      <t>G</t>
    </r>
    <r>
      <rPr>
        <b/>
        <sz val="9"/>
        <color theme="1"/>
        <rFont val="Helvetica-Normal"/>
      </rPr>
      <t>, VSWR, RL) - Academy of EMC</t>
    </r>
  </si>
  <si>
    <r>
      <t>[</t>
    </r>
    <r>
      <rPr>
        <sz val="9"/>
        <color theme="1"/>
        <rFont val="Symbol"/>
        <family val="1"/>
        <charset val="2"/>
      </rPr>
      <t>W</t>
    </r>
    <r>
      <rPr>
        <sz val="9"/>
        <color theme="1"/>
        <rFont val="Helvetica-Normal"/>
      </rPr>
      <t>]</t>
    </r>
  </si>
  <si>
    <r>
      <t xml:space="preserve">Load impedance </t>
    </r>
    <r>
      <rPr>
        <i/>
        <sz val="9"/>
        <color theme="1"/>
        <rFont val="Helvetica-Normal"/>
      </rPr>
      <t>Z</t>
    </r>
    <r>
      <rPr>
        <vertAlign val="subscript"/>
        <sz val="9"/>
        <color theme="1"/>
        <rFont val="Helvetica-Normal"/>
      </rPr>
      <t>load</t>
    </r>
  </si>
  <si>
    <r>
      <t xml:space="preserve">Reflection coefficient </t>
    </r>
    <r>
      <rPr>
        <sz val="9"/>
        <color theme="1"/>
        <rFont val="Symbol"/>
        <family val="1"/>
        <charset val="2"/>
      </rPr>
      <t>G</t>
    </r>
    <r>
      <rPr>
        <sz val="9"/>
        <color theme="1"/>
        <rFont val="Helvetica-Normal"/>
      </rPr>
      <t xml:space="preserve">, </t>
    </r>
    <r>
      <rPr>
        <i/>
        <sz val="9"/>
        <color theme="1"/>
        <rFont val="Helvetica-Normal"/>
      </rPr>
      <t>s</t>
    </r>
    <r>
      <rPr>
        <vertAlign val="subscript"/>
        <sz val="9"/>
        <color theme="1"/>
        <rFont val="Helvetica-Normal"/>
      </rPr>
      <t>11</t>
    </r>
  </si>
  <si>
    <t>Voltage standing wave ratio VSWR</t>
  </si>
  <si>
    <t>Return loss RL</t>
  </si>
  <si>
    <t>[dB]</t>
  </si>
  <si>
    <t>Degree of
Matching</t>
  </si>
  <si>
    <r>
      <t>Z</t>
    </r>
    <r>
      <rPr>
        <b/>
        <vertAlign val="subscript"/>
        <sz val="11"/>
        <color theme="1"/>
        <rFont val="Calibri"/>
        <family val="2"/>
        <scheme val="minor"/>
      </rPr>
      <t>load</t>
    </r>
    <r>
      <rPr>
        <b/>
        <sz val="11"/>
        <color theme="1"/>
        <rFont val="Calibri"/>
        <family val="2"/>
        <scheme val="minor"/>
      </rPr>
      <t xml:space="preserve"> [</t>
    </r>
    <r>
      <rPr>
        <b/>
        <sz val="11"/>
        <color theme="1"/>
        <rFont val="Calibri"/>
        <family val="2"/>
      </rPr>
      <t>Ω</t>
    </r>
    <r>
      <rPr>
        <b/>
        <sz val="11"/>
        <color theme="1"/>
        <rFont val="Calibri"/>
        <family val="2"/>
        <scheme val="minor"/>
      </rPr>
      <t>]</t>
    </r>
  </si>
  <si>
    <t>|Г| [1]</t>
  </si>
  <si>
    <t>|Г| [dB]</t>
  </si>
  <si>
    <t>|VSWR|:1 [1]</t>
  </si>
  <si>
    <t>RL [dB]</t>
  </si>
  <si>
    <t>Power
Transfer  [%]</t>
  </si>
  <si>
    <t>Power
Reflection [%]</t>
  </si>
  <si>
    <t>Perfectly
matched</t>
  </si>
  <si>
    <t>1:1</t>
  </si>
  <si>
    <t>100</t>
  </si>
  <si>
    <t>0</t>
  </si>
  <si>
    <t>Good matching</t>
  </si>
  <si>
    <t>&lt; 1.5:1</t>
  </si>
  <si>
    <t>&gt; 14 [dB]</t>
  </si>
  <si>
    <t>&gt; 96</t>
  </si>
  <si>
    <t>&lt; 4</t>
  </si>
  <si>
    <t>&lt; 0.2</t>
  </si>
  <si>
    <t>Poor matching</t>
  </si>
  <si>
    <t>Unmatched</t>
  </si>
  <si>
    <t>&gt; 0.3</t>
  </si>
  <si>
    <t>&gt; 2:1</t>
  </si>
  <si>
    <t>&lt; 89</t>
  </si>
  <si>
    <t>&gt; 11</t>
  </si>
  <si>
    <t>Total
reflection</t>
  </si>
  <si>
    <r>
      <t xml:space="preserve">System impedance </t>
    </r>
    <r>
      <rPr>
        <i/>
        <sz val="9"/>
        <color theme="1"/>
        <rFont val="Helvetica-Normal"/>
      </rPr>
      <t>Z</t>
    </r>
    <r>
      <rPr>
        <vertAlign val="subscript"/>
        <sz val="9"/>
        <color theme="1"/>
        <rFont val="Helvetica-Normal"/>
      </rPr>
      <t>0</t>
    </r>
  </si>
  <si>
    <r>
      <t xml:space="preserve">System impedance </t>
    </r>
    <r>
      <rPr>
        <i/>
        <sz val="9"/>
        <color theme="1"/>
        <rFont val="Helvetica-Normal"/>
      </rPr>
      <t>Z</t>
    </r>
    <r>
      <rPr>
        <vertAlign val="subscript"/>
        <sz val="9"/>
        <color theme="1"/>
        <rFont val="Helvetica-Normal"/>
      </rPr>
      <t>0</t>
    </r>
    <r>
      <rPr>
        <sz val="9"/>
        <color theme="1"/>
        <rFont val="Helvetica-Normal"/>
      </rPr>
      <t xml:space="preserve"> or source impedance </t>
    </r>
    <r>
      <rPr>
        <i/>
        <sz val="9"/>
        <color theme="1"/>
        <rFont val="Helvetica-Normal"/>
      </rPr>
      <t>Z</t>
    </r>
    <r>
      <rPr>
        <vertAlign val="subscript"/>
        <sz val="9"/>
        <color theme="1"/>
        <rFont val="Helvetica-Normal"/>
      </rPr>
      <t>source</t>
    </r>
    <r>
      <rPr>
        <sz val="9"/>
        <color theme="1"/>
        <rFont val="Helvetica-Normal"/>
      </rPr>
      <t xml:space="preserve"> . This sheet only calculates with real parts (no imaginary part)</t>
    </r>
  </si>
  <si>
    <t>%</t>
  </si>
  <si>
    <r>
      <t>Z</t>
    </r>
    <r>
      <rPr>
        <b/>
        <vertAlign val="subscript"/>
        <sz val="9"/>
        <color theme="1"/>
        <rFont val="Helvetica-Normal"/>
      </rPr>
      <t>load</t>
    </r>
    <r>
      <rPr>
        <b/>
        <sz val="9"/>
        <color theme="1"/>
        <rFont val="Helvetica-Normal"/>
      </rPr>
      <t xml:space="preserve"> [Ω]</t>
    </r>
  </si>
  <si>
    <t>∞</t>
  </si>
  <si>
    <t>Voltage standing wave ratio |VSWR|</t>
  </si>
  <si>
    <t>VSWR = StandingWaveMax/StandingWaveMin</t>
  </si>
  <si>
    <t>E.g. impedance of the antenna</t>
  </si>
  <si>
    <t>-∞</t>
  </si>
  <si>
    <t>&lt; -14 [dB]</t>
  </si>
  <si>
    <t>0.2...0.3</t>
  </si>
  <si>
    <t>0…10 [dB]</t>
  </si>
  <si>
    <t>-14…-10 [dB]</t>
  </si>
  <si>
    <t>10…14 [dB]</t>
  </si>
  <si>
    <t>-10…0 [dB]</t>
  </si>
  <si>
    <t>89…94</t>
  </si>
  <si>
    <t>1.5:1...2:1</t>
  </si>
  <si>
    <t>4...11</t>
  </si>
  <si>
    <t>0.01</t>
  </si>
  <si>
    <t>1.02</t>
  </si>
  <si>
    <t>P transmitter</t>
  </si>
  <si>
    <t>d [m]</t>
  </si>
  <si>
    <t>E</t>
  </si>
  <si>
    <t>Antenna gain transmitter Gt</t>
  </si>
  <si>
    <t>Antenna gain receiver Gr</t>
  </si>
  <si>
    <t>[dBi]</t>
  </si>
  <si>
    <t>Electromagnetic Radiation and Field Strength for EMC Immunity Testing - Academy of EMC</t>
  </si>
  <si>
    <r>
      <t xml:space="preserve">Assumptions: Medium = air. Distance </t>
    </r>
    <r>
      <rPr>
        <i/>
        <sz val="9"/>
        <color theme="1"/>
        <rFont val="Helvetica-Normal"/>
      </rPr>
      <t>d</t>
    </r>
    <r>
      <rPr>
        <sz val="9"/>
        <color theme="1"/>
        <rFont val="Helvetica-Normal"/>
      </rPr>
      <t xml:space="preserve"> = in the far-field</t>
    </r>
  </si>
  <si>
    <t>Wavelength vs. Frequency Calculator - Academy of EMC</t>
  </si>
  <si>
    <t>[m/sec]</t>
  </si>
  <si>
    <r>
      <t xml:space="preserve">Frequency of the sinusoidal signal. Set </t>
    </r>
    <r>
      <rPr>
        <sz val="9"/>
        <color theme="1"/>
        <rFont val="Symbol"/>
        <family val="1"/>
        <charset val="2"/>
      </rPr>
      <t>e</t>
    </r>
    <r>
      <rPr>
        <vertAlign val="subscript"/>
        <sz val="9"/>
        <color theme="1"/>
        <rFont val="Helvetica-Normal"/>
      </rPr>
      <t>r</t>
    </r>
    <r>
      <rPr>
        <sz val="9"/>
        <color theme="1"/>
        <rFont val="Helvetica-Normal"/>
      </rPr>
      <t xml:space="preserve"> and </t>
    </r>
    <r>
      <rPr>
        <sz val="9"/>
        <color theme="1"/>
        <rFont val="Symbol"/>
        <family val="1"/>
        <charset val="2"/>
      </rPr>
      <t>m</t>
    </r>
    <r>
      <rPr>
        <vertAlign val="subscript"/>
        <sz val="9"/>
        <color theme="1"/>
        <rFont val="Helvetica-Normal"/>
      </rPr>
      <t>r</t>
    </r>
    <r>
      <rPr>
        <sz val="9"/>
        <color theme="1"/>
        <rFont val="Helvetica-Normal"/>
      </rPr>
      <t xml:space="preserve"> of the media above.</t>
    </r>
  </si>
  <si>
    <r>
      <t xml:space="preserve">Wavelength of the sinusoidal signal. Set </t>
    </r>
    <r>
      <rPr>
        <sz val="9"/>
        <color theme="1"/>
        <rFont val="Symbol"/>
        <family val="1"/>
        <charset val="2"/>
      </rPr>
      <t>e</t>
    </r>
    <r>
      <rPr>
        <vertAlign val="subscript"/>
        <sz val="9"/>
        <color theme="1"/>
        <rFont val="Helvetica-Normal"/>
      </rPr>
      <t>r</t>
    </r>
    <r>
      <rPr>
        <sz val="9"/>
        <color theme="1"/>
        <rFont val="Helvetica-Normal"/>
      </rPr>
      <t xml:space="preserve"> and </t>
    </r>
    <r>
      <rPr>
        <sz val="9"/>
        <color theme="1"/>
        <rFont val="Symbol"/>
        <family val="1"/>
        <charset val="2"/>
      </rPr>
      <t>m</t>
    </r>
    <r>
      <rPr>
        <vertAlign val="subscript"/>
        <sz val="9"/>
        <color theme="1"/>
        <rFont val="Helvetica-Normal"/>
      </rPr>
      <t>r</t>
    </r>
    <r>
      <rPr>
        <sz val="9"/>
        <color theme="1"/>
        <rFont val="Helvetica-Normal"/>
      </rPr>
      <t xml:space="preserve"> of the media above.</t>
    </r>
  </si>
  <si>
    <r>
      <t xml:space="preserve">Velocity </t>
    </r>
    <r>
      <rPr>
        <i/>
        <sz val="9"/>
        <color theme="1"/>
        <rFont val="Helvetica-Normal"/>
      </rPr>
      <t>v</t>
    </r>
  </si>
  <si>
    <r>
      <t xml:space="preserve">Velocity of the sinusoidal signal with frequency </t>
    </r>
    <r>
      <rPr>
        <i/>
        <sz val="9"/>
        <color theme="1"/>
        <rFont val="Helvetica-Normal"/>
      </rPr>
      <t>f</t>
    </r>
    <r>
      <rPr>
        <sz val="9"/>
        <color theme="1"/>
        <rFont val="Helvetica-Normal"/>
      </rPr>
      <t xml:space="preserve"> and wavelangth </t>
    </r>
    <r>
      <rPr>
        <sz val="9"/>
        <color theme="1"/>
        <rFont val="Symbol"/>
        <family val="1"/>
        <charset val="2"/>
      </rPr>
      <t>l</t>
    </r>
    <r>
      <rPr>
        <sz val="9"/>
        <color theme="1"/>
        <rFont val="Helvetica-Normal"/>
      </rPr>
      <t>.</t>
    </r>
  </si>
  <si>
    <r>
      <rPr>
        <b/>
        <sz val="9"/>
        <color theme="1"/>
        <rFont val="Helvetica-Normal"/>
      </rPr>
      <t xml:space="preserve">Wavelength λ [m] </t>
    </r>
    <r>
      <rPr>
        <sz val="9"/>
        <color theme="1"/>
        <rFont val="Helvetica-Normal"/>
      </rPr>
      <t xml:space="preserve">of a sinusoidal signal is given by its frequency </t>
    </r>
    <r>
      <rPr>
        <i/>
        <sz val="9"/>
        <color theme="1"/>
        <rFont val="Helvetica-Normal"/>
      </rPr>
      <t>f</t>
    </r>
    <r>
      <rPr>
        <sz val="9"/>
        <color theme="1"/>
        <rFont val="Helvetica-Normal"/>
      </rPr>
      <t xml:space="preserve"> [Hz] and the velocity of the electromagnetic wave </t>
    </r>
    <r>
      <rPr>
        <i/>
        <sz val="9"/>
        <color theme="1"/>
        <rFont val="Helvetica-Normal"/>
      </rPr>
      <t>v</t>
    </r>
    <r>
      <rPr>
        <sz val="9"/>
        <color theme="1"/>
        <rFont val="Helvetica-Normal"/>
      </rPr>
      <t xml:space="preserve"> [m/sec]: </t>
    </r>
    <r>
      <rPr>
        <b/>
        <sz val="9"/>
        <color theme="1"/>
        <rFont val="Helvetica-Normal"/>
      </rPr>
      <t>λ=</t>
    </r>
    <r>
      <rPr>
        <b/>
        <i/>
        <sz val="9"/>
        <color theme="1"/>
        <rFont val="Helvetica-Normal"/>
      </rPr>
      <t>v</t>
    </r>
    <r>
      <rPr>
        <b/>
        <sz val="9"/>
        <color theme="1"/>
        <rFont val="Helvetica-Normal"/>
      </rPr>
      <t>/</t>
    </r>
    <r>
      <rPr>
        <b/>
        <i/>
        <sz val="9"/>
        <color theme="1"/>
        <rFont val="Helvetica-Normal"/>
      </rPr>
      <t>f</t>
    </r>
    <r>
      <rPr>
        <sz val="9"/>
        <color theme="1"/>
        <rFont val="Helvetica-Normal"/>
      </rPr>
      <t>.</t>
    </r>
  </si>
  <si>
    <r>
      <rPr>
        <b/>
        <sz val="9"/>
        <color theme="1"/>
        <rFont val="Helvetica-Normal"/>
      </rPr>
      <t xml:space="preserve">Velocity </t>
    </r>
    <r>
      <rPr>
        <b/>
        <i/>
        <sz val="9"/>
        <color theme="1"/>
        <rFont val="Helvetica-Normal"/>
      </rPr>
      <t>v</t>
    </r>
    <r>
      <rPr>
        <b/>
        <sz val="9"/>
        <color theme="1"/>
        <rFont val="Helvetica-Normal"/>
      </rPr>
      <t xml:space="preserve"> [m/sec]</t>
    </r>
    <r>
      <rPr>
        <sz val="9"/>
        <color theme="1"/>
        <rFont val="Helvetica-Normal"/>
      </rPr>
      <t xml:space="preserve"> is given by the permittivity </t>
    </r>
    <r>
      <rPr>
        <sz val="9"/>
        <color theme="1"/>
        <rFont val="Symbol"/>
        <family val="1"/>
        <charset val="2"/>
      </rPr>
      <t>e</t>
    </r>
    <r>
      <rPr>
        <sz val="9"/>
        <color theme="1"/>
        <rFont val="Helvetica-Normal"/>
      </rPr>
      <t>=</t>
    </r>
    <r>
      <rPr>
        <sz val="9"/>
        <color theme="1"/>
        <rFont val="Symbol"/>
        <family val="1"/>
        <charset val="2"/>
      </rPr>
      <t>e</t>
    </r>
    <r>
      <rPr>
        <vertAlign val="subscript"/>
        <sz val="9"/>
        <color theme="1"/>
        <rFont val="Helvetica-Normal"/>
      </rPr>
      <t>0</t>
    </r>
    <r>
      <rPr>
        <sz val="9"/>
        <color theme="1"/>
        <rFont val="Helvetica-Normal"/>
      </rPr>
      <t>*</t>
    </r>
    <r>
      <rPr>
        <sz val="9"/>
        <color theme="1"/>
        <rFont val="Symbol"/>
        <family val="1"/>
        <charset val="2"/>
      </rPr>
      <t>e</t>
    </r>
    <r>
      <rPr>
        <vertAlign val="subscript"/>
        <sz val="9"/>
        <color theme="1"/>
        <rFont val="Helvetica-Normal"/>
      </rPr>
      <t>r</t>
    </r>
    <r>
      <rPr>
        <sz val="9"/>
        <color theme="1"/>
        <rFont val="Helvetica-Normal"/>
      </rPr>
      <t xml:space="preserve"> and the permeability </t>
    </r>
    <r>
      <rPr>
        <sz val="9"/>
        <color theme="1"/>
        <rFont val="Symbol"/>
        <family val="1"/>
        <charset val="2"/>
      </rPr>
      <t>m</t>
    </r>
    <r>
      <rPr>
        <sz val="9"/>
        <color theme="1"/>
        <rFont val="Helvetica-Normal"/>
      </rPr>
      <t>=</t>
    </r>
    <r>
      <rPr>
        <sz val="9"/>
        <color theme="1"/>
        <rFont val="Symbol"/>
        <family val="1"/>
        <charset val="2"/>
      </rPr>
      <t>m</t>
    </r>
    <r>
      <rPr>
        <vertAlign val="subscript"/>
        <sz val="9"/>
        <color theme="1"/>
        <rFont val="Helvetica-Normal"/>
      </rPr>
      <t>0</t>
    </r>
    <r>
      <rPr>
        <sz val="9"/>
        <color theme="1"/>
        <rFont val="Helvetica-Normal"/>
      </rPr>
      <t>*</t>
    </r>
    <r>
      <rPr>
        <sz val="9"/>
        <color theme="1"/>
        <rFont val="Symbol"/>
        <family val="1"/>
        <charset val="2"/>
      </rPr>
      <t>m</t>
    </r>
    <r>
      <rPr>
        <vertAlign val="subscript"/>
        <sz val="9"/>
        <color theme="1"/>
        <rFont val="Helvetica-Normal"/>
      </rPr>
      <t>r</t>
    </r>
    <r>
      <rPr>
        <sz val="9"/>
        <color theme="1"/>
        <rFont val="Helvetica-Normal"/>
      </rPr>
      <t xml:space="preserve"> of the media(s) througth with the electromagnetic wave travels: </t>
    </r>
    <r>
      <rPr>
        <b/>
        <i/>
        <sz val="9"/>
        <color theme="1"/>
        <rFont val="Helvetica-Normal"/>
      </rPr>
      <t>v</t>
    </r>
    <r>
      <rPr>
        <b/>
        <sz val="9"/>
        <color theme="1"/>
        <rFont val="Helvetica-Normal"/>
      </rPr>
      <t>=1/</t>
    </r>
    <r>
      <rPr>
        <b/>
        <sz val="9"/>
        <color theme="1"/>
        <rFont val="Arial"/>
        <family val="2"/>
      </rPr>
      <t>√</t>
    </r>
    <r>
      <rPr>
        <b/>
        <sz val="9"/>
        <color theme="1"/>
        <rFont val="Helvetica-Normal"/>
      </rPr>
      <t>(e</t>
    </r>
    <r>
      <rPr>
        <b/>
        <vertAlign val="subscript"/>
        <sz val="9"/>
        <color theme="1"/>
        <rFont val="Helvetica-Normal"/>
      </rPr>
      <t>0</t>
    </r>
    <r>
      <rPr>
        <b/>
        <sz val="9"/>
        <color theme="1"/>
        <rFont val="Helvetica-Normal"/>
      </rPr>
      <t>*</t>
    </r>
    <r>
      <rPr>
        <b/>
        <sz val="9"/>
        <color theme="1"/>
        <rFont val="Symbol"/>
        <family val="1"/>
        <charset val="2"/>
      </rPr>
      <t>e</t>
    </r>
    <r>
      <rPr>
        <b/>
        <vertAlign val="subscript"/>
        <sz val="9"/>
        <color theme="1"/>
        <rFont val="Helvetica-Normal"/>
      </rPr>
      <t>r</t>
    </r>
    <r>
      <rPr>
        <b/>
        <sz val="9"/>
        <color theme="1"/>
        <rFont val="Helvetica-Normal"/>
      </rPr>
      <t>*</t>
    </r>
    <r>
      <rPr>
        <b/>
        <sz val="9"/>
        <color theme="1"/>
        <rFont val="Symbol"/>
        <family val="1"/>
        <charset val="2"/>
      </rPr>
      <t>m</t>
    </r>
    <r>
      <rPr>
        <b/>
        <vertAlign val="subscript"/>
        <sz val="9"/>
        <color theme="1"/>
        <rFont val="Helvetica-Normal"/>
      </rPr>
      <t>0</t>
    </r>
    <r>
      <rPr>
        <b/>
        <sz val="9"/>
        <color theme="1"/>
        <rFont val="Helvetica-Normal"/>
      </rPr>
      <t>*</t>
    </r>
    <r>
      <rPr>
        <b/>
        <sz val="9"/>
        <color theme="1"/>
        <rFont val="Symbol"/>
        <family val="1"/>
        <charset val="2"/>
      </rPr>
      <t>m</t>
    </r>
    <r>
      <rPr>
        <b/>
        <vertAlign val="subscript"/>
        <sz val="9"/>
        <color theme="1"/>
        <rFont val="Helvetica-Normal"/>
      </rPr>
      <t>r</t>
    </r>
    <r>
      <rPr>
        <b/>
        <sz val="9"/>
        <color theme="1"/>
        <rFont val="Helvetica-Normal"/>
      </rPr>
      <t>)=</t>
    </r>
    <r>
      <rPr>
        <b/>
        <i/>
        <sz val="9"/>
        <color theme="1"/>
        <rFont val="Helvetica-Normal"/>
      </rPr>
      <t>c</t>
    </r>
    <r>
      <rPr>
        <b/>
        <sz val="9"/>
        <color theme="1"/>
        <rFont val="Helvetica-Normal"/>
      </rPr>
      <t>/</t>
    </r>
    <r>
      <rPr>
        <b/>
        <sz val="9"/>
        <color theme="1"/>
        <rFont val="Arial"/>
        <family val="2"/>
      </rPr>
      <t>√</t>
    </r>
    <r>
      <rPr>
        <b/>
        <sz val="9"/>
        <color theme="1"/>
        <rFont val="Helvetica-Normal"/>
      </rPr>
      <t>(</t>
    </r>
    <r>
      <rPr>
        <b/>
        <sz val="9"/>
        <color theme="1"/>
        <rFont val="Symbol"/>
        <family val="1"/>
        <charset val="2"/>
      </rPr>
      <t>e</t>
    </r>
    <r>
      <rPr>
        <b/>
        <vertAlign val="subscript"/>
        <sz val="9"/>
        <color theme="1"/>
        <rFont val="Helvetica-Normal"/>
      </rPr>
      <t>r</t>
    </r>
    <r>
      <rPr>
        <b/>
        <sz val="9"/>
        <color theme="1"/>
        <rFont val="Helvetica-Normal"/>
      </rPr>
      <t>*</t>
    </r>
    <r>
      <rPr>
        <b/>
        <sz val="9"/>
        <color theme="1"/>
        <rFont val="Symbol"/>
        <family val="1"/>
        <charset val="2"/>
      </rPr>
      <t>m</t>
    </r>
    <r>
      <rPr>
        <b/>
        <vertAlign val="subscript"/>
        <sz val="9"/>
        <color theme="1"/>
        <rFont val="Helvetica-Normal"/>
      </rPr>
      <t>r</t>
    </r>
    <r>
      <rPr>
        <b/>
        <sz val="9"/>
        <color theme="1"/>
        <rFont val="Helvetica-Normal"/>
      </rPr>
      <t>)</t>
    </r>
  </si>
  <si>
    <r>
      <t xml:space="preserve">Relative permittivity </t>
    </r>
    <r>
      <rPr>
        <sz val="9"/>
        <color theme="1"/>
        <rFont val="Symbol"/>
        <family val="1"/>
        <charset val="2"/>
      </rPr>
      <t>e</t>
    </r>
    <r>
      <rPr>
        <vertAlign val="subscript"/>
        <sz val="9"/>
        <color theme="1"/>
        <rFont val="Helvetica-Normal"/>
      </rPr>
      <t>reff</t>
    </r>
  </si>
  <si>
    <r>
      <t xml:space="preserve">Relative permeability </t>
    </r>
    <r>
      <rPr>
        <sz val="9"/>
        <color theme="1"/>
        <rFont val="Symbol"/>
        <family val="1"/>
        <charset val="2"/>
      </rPr>
      <t>m</t>
    </r>
    <r>
      <rPr>
        <vertAlign val="subscript"/>
        <sz val="9"/>
        <color theme="1"/>
        <rFont val="Helvetica-Normal"/>
      </rPr>
      <t>reff</t>
    </r>
  </si>
  <si>
    <r>
      <t xml:space="preserve">Relative (effective) permittivity of media through with electromagnetic field travels. Set </t>
    </r>
    <r>
      <rPr>
        <sz val="9"/>
        <color theme="1"/>
        <rFont val="Symbol"/>
        <family val="1"/>
        <charset val="2"/>
      </rPr>
      <t>e</t>
    </r>
    <r>
      <rPr>
        <vertAlign val="subscript"/>
        <sz val="9"/>
        <color theme="1"/>
        <rFont val="Helvetica-Normal"/>
      </rPr>
      <t>reff</t>
    </r>
    <r>
      <rPr>
        <sz val="9"/>
        <color theme="1"/>
        <rFont val="Helvetica-Normal"/>
      </rPr>
      <t>=1 for air.</t>
    </r>
  </si>
  <si>
    <r>
      <t xml:space="preserve">Relative (effective) permeability of media through with electromagnetic field travels. Set </t>
    </r>
    <r>
      <rPr>
        <sz val="9"/>
        <color theme="1"/>
        <rFont val="Symbol"/>
        <family val="1"/>
        <charset val="2"/>
      </rPr>
      <t>m</t>
    </r>
    <r>
      <rPr>
        <vertAlign val="subscript"/>
        <sz val="9"/>
        <color theme="1"/>
        <rFont val="Helvetica-Normal"/>
      </rPr>
      <t>reff</t>
    </r>
    <r>
      <rPr>
        <sz val="9"/>
        <color theme="1"/>
        <rFont val="Helvetica-Normal"/>
      </rPr>
      <t>=1 for air.</t>
    </r>
  </si>
  <si>
    <r>
      <t xml:space="preserve">Calculation of the wavelength </t>
    </r>
    <r>
      <rPr>
        <i/>
        <sz val="9"/>
        <color theme="1"/>
        <rFont val="Symbol"/>
        <family val="1"/>
        <charset val="2"/>
      </rPr>
      <t>l</t>
    </r>
    <r>
      <rPr>
        <sz val="9"/>
        <color theme="1"/>
        <rFont val="Helvetica-Normal"/>
      </rPr>
      <t xml:space="preserve"> for frequency </t>
    </r>
    <r>
      <rPr>
        <i/>
        <sz val="9"/>
        <color theme="1"/>
        <rFont val="Helvetica-Normal"/>
      </rPr>
      <t>f</t>
    </r>
    <r>
      <rPr>
        <sz val="9"/>
        <color theme="1"/>
        <rFont val="Helvetica-Normal"/>
      </rPr>
      <t xml:space="preserve"> and vice versa of an electromagnetic wave in a media with </t>
    </r>
    <r>
      <rPr>
        <sz val="9"/>
        <color theme="1"/>
        <rFont val="Symbol"/>
        <family val="1"/>
        <charset val="2"/>
      </rPr>
      <t>e</t>
    </r>
    <r>
      <rPr>
        <vertAlign val="subscript"/>
        <sz val="9"/>
        <color theme="1"/>
        <rFont val="Helvetica-Normal"/>
      </rPr>
      <t>reff</t>
    </r>
    <r>
      <rPr>
        <sz val="9"/>
        <color theme="1"/>
        <rFont val="Helvetica-Normal"/>
      </rPr>
      <t xml:space="preserve"> and </t>
    </r>
    <r>
      <rPr>
        <sz val="9"/>
        <color theme="1"/>
        <rFont val="Symbol"/>
        <family val="1"/>
        <charset val="2"/>
      </rPr>
      <t>m</t>
    </r>
    <r>
      <rPr>
        <vertAlign val="subscript"/>
        <sz val="9"/>
        <color theme="1"/>
        <rFont val="Helvetica-Normal"/>
      </rPr>
      <t>reff</t>
    </r>
    <r>
      <rPr>
        <sz val="9"/>
        <color theme="1"/>
        <rFont val="Helvetica-Normal"/>
      </rPr>
      <t>.</t>
    </r>
  </si>
  <si>
    <t>0.299</t>
  </si>
  <si>
    <r>
      <rPr>
        <b/>
        <i/>
        <sz val="9"/>
        <color theme="1"/>
        <rFont val="Symbol"/>
        <family val="1"/>
        <charset val="2"/>
      </rPr>
      <t>l</t>
    </r>
    <r>
      <rPr>
        <b/>
        <sz val="9"/>
        <color theme="1"/>
        <rFont val="Helvetica-Normal"/>
      </rPr>
      <t>/2 [m]</t>
    </r>
  </si>
  <si>
    <r>
      <t xml:space="preserve">Effective Dielectric Constant </t>
    </r>
    <r>
      <rPr>
        <b/>
        <sz val="9"/>
        <color theme="1"/>
        <rFont val="Symbol"/>
        <family val="1"/>
        <charset val="2"/>
      </rPr>
      <t>e</t>
    </r>
    <r>
      <rPr>
        <b/>
        <vertAlign val="subscript"/>
        <sz val="9"/>
        <color theme="1"/>
        <rFont val="Helvetica-Normal"/>
      </rPr>
      <t>reff</t>
    </r>
    <r>
      <rPr>
        <b/>
        <sz val="9"/>
        <color theme="1"/>
        <rFont val="Helvetica-Normal"/>
      </rPr>
      <t xml:space="preserve"> Calculator - Academy of EMC</t>
    </r>
  </si>
  <si>
    <t>References:</t>
  </si>
  <si>
    <t xml:space="preserve">References: </t>
  </si>
  <si>
    <r>
      <t xml:space="preserve">[1] J. L. Norman Violette, Donald R. J. White, Michael F. Violette, </t>
    </r>
    <r>
      <rPr>
        <i/>
        <sz val="9"/>
        <color theme="1"/>
        <rFont val="Helvetica-Normal"/>
      </rPr>
      <t>Electromagnetic Compatibility Handbook</t>
    </r>
    <r>
      <rPr>
        <sz val="9"/>
        <color theme="1"/>
        <rFont val="Helvetica-Normal"/>
      </rPr>
      <t>, Van Norstrand Reinhold Company, 1987, pp.26-29</t>
    </r>
  </si>
  <si>
    <r>
      <t xml:space="preserve">[1] Henry W. Ott, </t>
    </r>
    <r>
      <rPr>
        <i/>
        <sz val="9"/>
        <color theme="1"/>
        <rFont val="Helvetica-Normal"/>
      </rPr>
      <t>Electromagnetic Compatibility Engineering</t>
    </r>
    <r>
      <rPr>
        <sz val="9"/>
        <color theme="1"/>
        <rFont val="Helvetica-Normal"/>
      </rPr>
      <t>, John Wiley &amp; Sons, Inc., 2009, pp. 733-739</t>
    </r>
  </si>
  <si>
    <r>
      <t xml:space="preserve">[1] Constantine A. Balanis, </t>
    </r>
    <r>
      <rPr>
        <i/>
        <sz val="9"/>
        <color theme="1"/>
        <rFont val="Helvetica-Normal"/>
      </rPr>
      <t>Antenna Theory Analysis and Design</t>
    </r>
    <r>
      <rPr>
        <sz val="9"/>
        <color theme="1"/>
        <rFont val="Helvetica-Normal"/>
      </rPr>
      <t>, John Wiley &amp; Sons Inc., 3rd. Edition, 2005, pp. 34-36</t>
    </r>
  </si>
  <si>
    <r>
      <t xml:space="preserve">Source/system impedance </t>
    </r>
    <r>
      <rPr>
        <i/>
        <sz val="9"/>
        <color theme="1"/>
        <rFont val="Helvetica-Normal"/>
      </rPr>
      <t>Z</t>
    </r>
    <r>
      <rPr>
        <vertAlign val="subscript"/>
        <sz val="9"/>
        <color theme="1"/>
        <rFont val="Helvetica-Normal"/>
      </rPr>
      <t>source</t>
    </r>
    <r>
      <rPr>
        <sz val="9"/>
        <color theme="1"/>
        <rFont val="Helvetica-Normal"/>
      </rPr>
      <t xml:space="preserve"> / </t>
    </r>
    <r>
      <rPr>
        <i/>
        <sz val="9"/>
        <color theme="1"/>
        <rFont val="Helvetica-Normal"/>
      </rPr>
      <t>Z</t>
    </r>
    <r>
      <rPr>
        <vertAlign val="subscript"/>
        <sz val="9"/>
        <color theme="1"/>
        <rFont val="Helvetica-Normal"/>
      </rPr>
      <t>0</t>
    </r>
  </si>
  <si>
    <r>
      <t>RL = 10*log</t>
    </r>
    <r>
      <rPr>
        <vertAlign val="subscript"/>
        <sz val="9"/>
        <color theme="1"/>
        <rFont val="Helvetica-Normal"/>
      </rPr>
      <t>10</t>
    </r>
    <r>
      <rPr>
        <sz val="9"/>
        <color theme="1"/>
        <rFont val="Helvetica-Normal"/>
      </rPr>
      <t>(</t>
    </r>
    <r>
      <rPr>
        <i/>
        <sz val="9"/>
        <color theme="1"/>
        <rFont val="Helvetica-Normal"/>
      </rPr>
      <t>P</t>
    </r>
    <r>
      <rPr>
        <vertAlign val="subscript"/>
        <sz val="9"/>
        <color theme="1"/>
        <rFont val="Helvetica-Normal"/>
      </rPr>
      <t>forward</t>
    </r>
    <r>
      <rPr>
        <sz val="9"/>
        <color theme="1"/>
        <rFont val="Helvetica-Normal"/>
      </rPr>
      <t>/</t>
    </r>
    <r>
      <rPr>
        <i/>
        <sz val="9"/>
        <color theme="1"/>
        <rFont val="Helvetica-Normal"/>
      </rPr>
      <t>P</t>
    </r>
    <r>
      <rPr>
        <vertAlign val="subscript"/>
        <sz val="9"/>
        <color theme="1"/>
        <rFont val="Helvetica-Normal"/>
      </rPr>
      <t>reflected</t>
    </r>
    <r>
      <rPr>
        <sz val="9"/>
        <color theme="1"/>
        <rFont val="Helvetica-Normal"/>
      </rPr>
      <t>)</t>
    </r>
  </si>
  <si>
    <r>
      <rPr>
        <i/>
        <sz val="9"/>
        <color theme="1"/>
        <rFont val="Symbol"/>
        <family val="1"/>
        <charset val="2"/>
      </rPr>
      <t>G</t>
    </r>
    <r>
      <rPr>
        <sz val="9"/>
        <color theme="1"/>
        <rFont val="Helvetica-Normal"/>
      </rPr>
      <t xml:space="preserve"> = </t>
    </r>
    <r>
      <rPr>
        <i/>
        <sz val="9"/>
        <color theme="1"/>
        <rFont val="Helvetica-Normal"/>
      </rPr>
      <t>V</t>
    </r>
    <r>
      <rPr>
        <vertAlign val="subscript"/>
        <sz val="9"/>
        <color theme="1"/>
        <rFont val="Helvetica-Normal"/>
      </rPr>
      <t>reflected</t>
    </r>
    <r>
      <rPr>
        <sz val="9"/>
        <color theme="1"/>
        <rFont val="Helvetica-Normal"/>
        <family val="1"/>
        <charset val="2"/>
      </rPr>
      <t>/</t>
    </r>
    <r>
      <rPr>
        <i/>
        <sz val="9"/>
        <color theme="1"/>
        <rFont val="Helvetica-Normal"/>
      </rPr>
      <t>V</t>
    </r>
    <r>
      <rPr>
        <vertAlign val="subscript"/>
        <sz val="9"/>
        <color theme="1"/>
        <rFont val="Helvetica-Normal"/>
      </rPr>
      <t>forward</t>
    </r>
  </si>
  <si>
    <r>
      <t xml:space="preserve">Reflection coefficient </t>
    </r>
    <r>
      <rPr>
        <i/>
        <sz val="9"/>
        <color theme="1"/>
        <rFont val="Symbol"/>
        <family val="1"/>
        <charset val="2"/>
      </rPr>
      <t>G</t>
    </r>
    <r>
      <rPr>
        <sz val="9"/>
        <color theme="1"/>
        <rFont val="Helvetica-Normal"/>
      </rPr>
      <t xml:space="preserve">, </t>
    </r>
    <r>
      <rPr>
        <i/>
        <sz val="9"/>
        <color theme="1"/>
        <rFont val="Helvetica-Normal"/>
      </rPr>
      <t>s</t>
    </r>
    <r>
      <rPr>
        <vertAlign val="subscript"/>
        <sz val="9"/>
        <color theme="1"/>
        <rFont val="Helvetica-Normal"/>
      </rPr>
      <t>11</t>
    </r>
  </si>
  <si>
    <r>
      <t>Typical 50</t>
    </r>
    <r>
      <rPr>
        <sz val="9"/>
        <color theme="1"/>
        <rFont val="Symbol"/>
        <family val="1"/>
        <charset val="2"/>
      </rPr>
      <t>W</t>
    </r>
  </si>
  <si>
    <t>Power Transfer PT</t>
  </si>
  <si>
    <t>Power reflected PR</t>
  </si>
  <si>
    <t>Power
Transfer [%]</t>
  </si>
  <si>
    <r>
      <t xml:space="preserve">Power reflected by load in %. PR = 100% - </t>
    </r>
    <r>
      <rPr>
        <i/>
        <sz val="9"/>
        <color theme="1"/>
        <rFont val="Helvetica-Normal"/>
      </rPr>
      <t>P</t>
    </r>
    <r>
      <rPr>
        <vertAlign val="subscript"/>
        <sz val="9"/>
        <color theme="1"/>
        <rFont val="Helvetica-Normal"/>
      </rPr>
      <t>transferred</t>
    </r>
    <r>
      <rPr>
        <sz val="9"/>
        <color theme="1"/>
        <rFont val="Helvetica-Normal"/>
      </rPr>
      <t xml:space="preserve">. Power transferred to load = </t>
    </r>
    <r>
      <rPr>
        <i/>
        <sz val="9"/>
        <color theme="1"/>
        <rFont val="Helvetica-Normal"/>
      </rPr>
      <t>P</t>
    </r>
    <r>
      <rPr>
        <vertAlign val="subscript"/>
        <sz val="9"/>
        <color theme="1"/>
        <rFont val="Helvetica-Normal"/>
      </rPr>
      <t>source</t>
    </r>
    <r>
      <rPr>
        <sz val="9"/>
        <color theme="1"/>
        <rFont val="Helvetica-Normal"/>
      </rPr>
      <t>*(1</t>
    </r>
    <r>
      <rPr>
        <sz val="9"/>
        <color theme="1"/>
        <rFont val="Arial"/>
        <family val="2"/>
      </rPr>
      <t xml:space="preserve">̶ </t>
    </r>
    <r>
      <rPr>
        <i/>
        <sz val="9"/>
        <color theme="1"/>
        <rFont val="Symbol"/>
        <family val="1"/>
        <charset val="2"/>
      </rPr>
      <t xml:space="preserve">G </t>
    </r>
    <r>
      <rPr>
        <vertAlign val="superscript"/>
        <sz val="9"/>
        <color theme="1"/>
        <rFont val="Helvetica-Normal"/>
      </rPr>
      <t>2</t>
    </r>
    <r>
      <rPr>
        <sz val="9"/>
        <color theme="1"/>
        <rFont val="Helvetica-Normal"/>
      </rPr>
      <t>)</t>
    </r>
  </si>
  <si>
    <r>
      <t>Power dissipated in load in %. PT = 100%/</t>
    </r>
    <r>
      <rPr>
        <i/>
        <sz val="9"/>
        <color theme="1"/>
        <rFont val="Helvetica-Normal"/>
      </rPr>
      <t>P</t>
    </r>
    <r>
      <rPr>
        <vertAlign val="subscript"/>
        <sz val="9"/>
        <color theme="1"/>
        <rFont val="Helvetica-Normal"/>
      </rPr>
      <t>100%Matched</t>
    </r>
    <r>
      <rPr>
        <sz val="9"/>
        <color theme="1"/>
        <rFont val="Helvetica-Normal"/>
      </rPr>
      <t>*</t>
    </r>
    <r>
      <rPr>
        <i/>
        <sz val="9"/>
        <color theme="1"/>
        <rFont val="Helvetica-Normal"/>
      </rPr>
      <t>P</t>
    </r>
    <r>
      <rPr>
        <vertAlign val="subscript"/>
        <sz val="9"/>
        <color theme="1"/>
        <rFont val="Helvetica-Normal"/>
      </rPr>
      <t>unmatched</t>
    </r>
    <r>
      <rPr>
        <sz val="9"/>
        <color theme="1"/>
        <rFont val="Helvetica-Normal"/>
      </rPr>
      <t>. Power reflectec by load = (</t>
    </r>
    <r>
      <rPr>
        <i/>
        <sz val="9"/>
        <color theme="1"/>
        <rFont val="Symbol"/>
        <family val="1"/>
        <charset val="2"/>
      </rPr>
      <t xml:space="preserve">G </t>
    </r>
    <r>
      <rPr>
        <vertAlign val="superscript"/>
        <sz val="9"/>
        <color theme="1"/>
        <rFont val="Helvetica-Normal"/>
      </rPr>
      <t>2</t>
    </r>
    <r>
      <rPr>
        <sz val="9"/>
        <color theme="1"/>
        <rFont val="Helvetica-Normal"/>
      </rPr>
      <t>)*</t>
    </r>
    <r>
      <rPr>
        <i/>
        <sz val="9"/>
        <color theme="1"/>
        <rFont val="Helvetica-Normal"/>
      </rPr>
      <t>P</t>
    </r>
    <r>
      <rPr>
        <vertAlign val="subscript"/>
        <sz val="9"/>
        <color theme="1"/>
        <rFont val="Helvetica-Normal"/>
      </rPr>
      <t>source</t>
    </r>
  </si>
  <si>
    <r>
      <t xml:space="preserve">[1] </t>
    </r>
    <r>
      <rPr>
        <i/>
        <sz val="9"/>
        <color theme="1"/>
        <rFont val="Helvetica-Normal"/>
      </rPr>
      <t>Reference Data for Engineers</t>
    </r>
    <r>
      <rPr>
        <sz val="9"/>
        <color theme="1"/>
        <rFont val="Helvetica-Normal"/>
      </rPr>
      <t>, Newens, 9th Edition, 2002, pages: 12-25, 29-8, 31-2</t>
    </r>
  </si>
  <si>
    <t>2020-Jul-31</t>
  </si>
  <si>
    <r>
      <t xml:space="preserve">[1] Clayton R. Paul. </t>
    </r>
    <r>
      <rPr>
        <i/>
        <sz val="9"/>
        <color theme="1"/>
        <rFont val="Helvetica-Normal"/>
      </rPr>
      <t>Introduction to Electromagnetic Compatibility</t>
    </r>
    <r>
      <rPr>
        <sz val="9"/>
        <color theme="1"/>
        <rFont val="Helvetica-Normal"/>
      </rPr>
      <t>. John Wiley &amp; Sons Inc., 2nd Edition, 2008, pp. 185-186</t>
    </r>
  </si>
  <si>
    <t>2020-July-31</t>
  </si>
  <si>
    <r>
      <rPr>
        <b/>
        <sz val="9"/>
        <color theme="1"/>
        <rFont val="Helvetica-Normal"/>
      </rPr>
      <t xml:space="preserve">The effective dielectric constant </t>
    </r>
    <r>
      <rPr>
        <b/>
        <i/>
        <sz val="9"/>
        <color theme="1"/>
        <rFont val="Helvetica-Normal"/>
      </rPr>
      <t>e</t>
    </r>
    <r>
      <rPr>
        <b/>
        <vertAlign val="subscript"/>
        <sz val="9"/>
        <color theme="1"/>
        <rFont val="Helvetica-Normal"/>
      </rPr>
      <t>reff</t>
    </r>
    <r>
      <rPr>
        <b/>
        <sz val="9"/>
        <color theme="1"/>
        <rFont val="Helvetica-Normal"/>
      </rPr>
      <t xml:space="preserve"> </t>
    </r>
    <r>
      <rPr>
        <sz val="9"/>
        <color theme="1"/>
        <rFont val="Helvetica-Normal"/>
      </rPr>
      <t>is defined as the uniform equivalent dielectric constant for a transmission, even in presence of different dielectrica (e.g. air, FR-4).</t>
    </r>
  </si>
  <si>
    <r>
      <t xml:space="preserve">The effective dielectric constant for </t>
    </r>
    <r>
      <rPr>
        <b/>
        <sz val="9"/>
        <color theme="1"/>
        <rFont val="Helvetica-Normal"/>
      </rPr>
      <t>coaxial</t>
    </r>
    <r>
      <rPr>
        <sz val="9"/>
        <color theme="1"/>
        <rFont val="Helvetica-Normal"/>
      </rPr>
      <t xml:space="preserve"> cables, </t>
    </r>
    <r>
      <rPr>
        <b/>
        <sz val="9"/>
        <color theme="1"/>
        <rFont val="Helvetica-Normal"/>
      </rPr>
      <t>waveguides</t>
    </r>
    <r>
      <rPr>
        <sz val="9"/>
        <color theme="1"/>
        <rFont val="Helvetica-Normal"/>
      </rPr>
      <t xml:space="preserve"> and embedded </t>
    </r>
    <r>
      <rPr>
        <b/>
        <sz val="9"/>
        <color theme="1"/>
        <rFont val="Helvetica-Normal"/>
      </rPr>
      <t>striplines</t>
    </r>
    <r>
      <rPr>
        <sz val="9"/>
        <color theme="1"/>
        <rFont val="Helvetica-Normal"/>
      </rPr>
      <t xml:space="preserve"> is equeal the dielectric constant of the dielectric bulk material.</t>
    </r>
  </si>
  <si>
    <t>Microstrip line</t>
  </si>
  <si>
    <r>
      <t xml:space="preserve">The formulas used here are </t>
    </r>
    <r>
      <rPr>
        <b/>
        <sz val="9"/>
        <color theme="1"/>
        <rFont val="Helvetica-Normal"/>
      </rPr>
      <t>only approximations</t>
    </r>
    <r>
      <rPr>
        <sz val="9"/>
        <color theme="1"/>
        <rFont val="Helvetica-Normal"/>
      </rPr>
      <t xml:space="preserve"> and effects of e.g. trace thickness, solder-mask coverage etc. are ignored. Relative permeability </t>
    </r>
    <r>
      <rPr>
        <sz val="9"/>
        <color theme="1"/>
        <rFont val="Symbol"/>
        <family val="1"/>
        <charset val="2"/>
      </rPr>
      <t>m</t>
    </r>
    <r>
      <rPr>
        <vertAlign val="subscript"/>
        <sz val="9"/>
        <color theme="1"/>
        <rFont val="Helvetica-Normal"/>
      </rPr>
      <t>r</t>
    </r>
    <r>
      <rPr>
        <sz val="9"/>
        <color theme="1"/>
        <rFont val="Helvetica-Normal"/>
      </rPr>
      <t xml:space="preserve"> is assumed to be 1.</t>
    </r>
  </si>
  <si>
    <r>
      <rPr>
        <sz val="9"/>
        <color theme="1"/>
        <rFont val="Symbol"/>
        <family val="1"/>
        <charset val="2"/>
      </rPr>
      <t>m</t>
    </r>
    <r>
      <rPr>
        <vertAlign val="subscript"/>
        <sz val="9"/>
        <color theme="1"/>
        <rFont val="Helvetica-Normal"/>
      </rPr>
      <t>reff</t>
    </r>
    <r>
      <rPr>
        <sz val="9"/>
        <color theme="1"/>
        <rFont val="Helvetica-Normal"/>
      </rPr>
      <t xml:space="preserve"> influences</t>
    </r>
    <r>
      <rPr>
        <i/>
        <sz val="9"/>
        <color theme="1"/>
        <rFont val="Symbol"/>
        <family val="1"/>
        <charset val="2"/>
      </rPr>
      <t xml:space="preserve"> l</t>
    </r>
    <r>
      <rPr>
        <sz val="9"/>
        <color theme="1"/>
        <rFont val="Helvetica-Normal"/>
      </rPr>
      <t>.</t>
    </r>
    <r>
      <rPr>
        <sz val="9"/>
        <color theme="1"/>
        <rFont val="Helvetica-Normal"/>
        <family val="1"/>
        <charset val="2"/>
      </rPr>
      <t xml:space="preserve"> </t>
    </r>
    <r>
      <rPr>
        <sz val="9"/>
        <color theme="1"/>
        <rFont val="Symbol"/>
        <family val="1"/>
        <charset val="2"/>
      </rPr>
      <t>m</t>
    </r>
    <r>
      <rPr>
        <vertAlign val="subscript"/>
        <sz val="9"/>
        <color theme="1"/>
        <rFont val="Helvetica-Normal"/>
      </rPr>
      <t>reff</t>
    </r>
    <r>
      <rPr>
        <sz val="9"/>
        <color theme="1"/>
        <rFont val="Helvetica-Normal"/>
        <family val="1"/>
        <charset val="2"/>
      </rPr>
      <t xml:space="preserve"> is usually 1.</t>
    </r>
  </si>
  <si>
    <r>
      <rPr>
        <sz val="9"/>
        <color theme="1"/>
        <rFont val="Symbol"/>
        <family val="1"/>
        <charset val="2"/>
      </rPr>
      <t>e</t>
    </r>
    <r>
      <rPr>
        <vertAlign val="subscript"/>
        <sz val="9"/>
        <color theme="1"/>
        <rFont val="Helvetica-Normal"/>
      </rPr>
      <t>reff</t>
    </r>
    <r>
      <rPr>
        <sz val="9"/>
        <color theme="1"/>
        <rFont val="Helvetica-Normal"/>
      </rPr>
      <t xml:space="preserve"> influences </t>
    </r>
    <r>
      <rPr>
        <sz val="9"/>
        <color theme="1"/>
        <rFont val="Symbol"/>
        <family val="1"/>
        <charset val="2"/>
      </rPr>
      <t>l</t>
    </r>
    <r>
      <rPr>
        <sz val="9"/>
        <color theme="1"/>
        <rFont val="Helvetica-Normal"/>
      </rPr>
      <t xml:space="preserve">. In case the antenna is a PCB-trace or cable, calculate </t>
    </r>
    <r>
      <rPr>
        <sz val="9"/>
        <color theme="1"/>
        <rFont val="Symbol"/>
        <family val="1"/>
        <charset val="2"/>
      </rPr>
      <t>e</t>
    </r>
    <r>
      <rPr>
        <vertAlign val="subscript"/>
        <sz val="9"/>
        <color theme="1"/>
        <rFont val="Helvetica-Normal"/>
      </rPr>
      <t>reff</t>
    </r>
    <r>
      <rPr>
        <sz val="9"/>
        <color theme="1"/>
        <rFont val="Helvetica-Normal"/>
      </rPr>
      <t xml:space="preserve"> accordingly.</t>
    </r>
  </si>
  <si>
    <t>[mm]</t>
  </si>
  <si>
    <t>Distance between ground/supply reference plane and the trace.</t>
  </si>
  <si>
    <r>
      <t xml:space="preserve">Trace width </t>
    </r>
    <r>
      <rPr>
        <i/>
        <sz val="9"/>
        <color theme="1"/>
        <rFont val="Helvetica-Normal"/>
      </rPr>
      <t>w</t>
    </r>
  </si>
  <si>
    <r>
      <t xml:space="preserve">Height of trace to plane </t>
    </r>
    <r>
      <rPr>
        <i/>
        <sz val="9"/>
        <color theme="1"/>
        <rFont val="Helvetica-Normal"/>
      </rPr>
      <t>h</t>
    </r>
  </si>
  <si>
    <r>
      <t xml:space="preserve">Calculated </t>
    </r>
    <r>
      <rPr>
        <b/>
        <sz val="9"/>
        <color theme="1"/>
        <rFont val="Symbol"/>
        <family val="1"/>
        <charset val="2"/>
      </rPr>
      <t>e</t>
    </r>
    <r>
      <rPr>
        <b/>
        <vertAlign val="subscript"/>
        <sz val="9"/>
        <color theme="1"/>
        <rFont val="Helvetica-Normal"/>
      </rPr>
      <t>reff</t>
    </r>
  </si>
  <si>
    <r>
      <t xml:space="preserve">Effective permittivity </t>
    </r>
    <r>
      <rPr>
        <sz val="9"/>
        <color theme="1"/>
        <rFont val="Symbol"/>
        <family val="1"/>
        <charset val="2"/>
      </rPr>
      <t>e</t>
    </r>
    <r>
      <rPr>
        <vertAlign val="subscript"/>
        <sz val="9"/>
        <color theme="1"/>
        <rFont val="Helvetica-Normal"/>
      </rPr>
      <t>reff</t>
    </r>
  </si>
  <si>
    <t>0.2</t>
  </si>
  <si>
    <t>Stripline</t>
  </si>
  <si>
    <t>Dielectric constant / relative permittivity of the PCB material (substrate).</t>
  </si>
  <si>
    <r>
      <t xml:space="preserve">[1] Brian C. Wadell, </t>
    </r>
    <r>
      <rPr>
        <i/>
        <sz val="9"/>
        <color theme="1"/>
        <rFont val="Helvetica-Normal"/>
      </rPr>
      <t>Transmission line design handbook</t>
    </r>
    <r>
      <rPr>
        <sz val="9"/>
        <color theme="1"/>
        <rFont val="Helvetica-Normal"/>
      </rPr>
      <t>, Artech House Inc., 1991, pp.93-94</t>
    </r>
  </si>
  <si>
    <r>
      <t xml:space="preserve">The effective dielectric constant of a stripline (traced, sandwiched between two reference planes) is equal </t>
    </r>
    <r>
      <rPr>
        <sz val="9"/>
        <rFont val="Symbol"/>
        <family val="1"/>
        <charset val="2"/>
      </rPr>
      <t>e</t>
    </r>
    <r>
      <rPr>
        <vertAlign val="subscript"/>
        <sz val="9"/>
        <rFont val="Helvetica-Normal"/>
      </rPr>
      <t>r</t>
    </r>
    <r>
      <rPr>
        <sz val="9"/>
        <rFont val="Helvetica-Normal"/>
      </rPr>
      <t xml:space="preserve"> of the substrate.</t>
    </r>
  </si>
  <si>
    <t>Coplanar waveguide with reference plane</t>
  </si>
  <si>
    <r>
      <t xml:space="preserve">Space </t>
    </r>
    <r>
      <rPr>
        <i/>
        <sz val="9"/>
        <color theme="1"/>
        <rFont val="Helvetica-Normal"/>
      </rPr>
      <t>s</t>
    </r>
  </si>
  <si>
    <t>Space to the adjusted ground plane on the same layer like the trace.</t>
  </si>
  <si>
    <t>Trace witdth of the trace at the very outside layer (top, bottom) of a PCB.</t>
  </si>
  <si>
    <r>
      <t xml:space="preserve">Trace witdth of the trace at the very outside layer (top, bottom) of a PCB. Use the same unit for </t>
    </r>
    <r>
      <rPr>
        <i/>
        <sz val="9"/>
        <color theme="1"/>
        <rFont val="Helvetica-Normal"/>
      </rPr>
      <t>w</t>
    </r>
    <r>
      <rPr>
        <sz val="9"/>
        <color theme="1"/>
        <rFont val="Helvetica-Normal"/>
      </rPr>
      <t xml:space="preserve"> as for </t>
    </r>
    <r>
      <rPr>
        <i/>
        <sz val="9"/>
        <color theme="1"/>
        <rFont val="Helvetica-Normal"/>
      </rPr>
      <t>h</t>
    </r>
    <r>
      <rPr>
        <sz val="9"/>
        <color theme="1"/>
        <rFont val="Helvetica-Normal"/>
      </rPr>
      <t>.</t>
    </r>
  </si>
  <si>
    <r>
      <t xml:space="preserve">Distance between ground/supply reference plane and the trace. Use the same unit for </t>
    </r>
    <r>
      <rPr>
        <i/>
        <sz val="9"/>
        <color theme="1"/>
        <rFont val="Helvetica-Normal"/>
      </rPr>
      <t>h</t>
    </r>
    <r>
      <rPr>
        <sz val="9"/>
        <color theme="1"/>
        <rFont val="Helvetica-Normal"/>
      </rPr>
      <t xml:space="preserve"> as for </t>
    </r>
    <r>
      <rPr>
        <i/>
        <sz val="9"/>
        <color theme="1"/>
        <rFont val="Helvetica-Normal"/>
      </rPr>
      <t>w</t>
    </r>
    <r>
      <rPr>
        <sz val="9"/>
        <color theme="1"/>
        <rFont val="Helvetica-Normal"/>
      </rPr>
      <t>.</t>
    </r>
  </si>
  <si>
    <t>0.4</t>
  </si>
  <si>
    <t>4.2</t>
  </si>
  <si>
    <r>
      <t xml:space="preserve">Effective dielectric constant of a stripline (traced, sandwiched between two reference planes) is equal </t>
    </r>
    <r>
      <rPr>
        <sz val="9"/>
        <rFont val="Symbol"/>
        <family val="1"/>
        <charset val="2"/>
      </rPr>
      <t>e</t>
    </r>
    <r>
      <rPr>
        <vertAlign val="subscript"/>
        <sz val="9"/>
        <rFont val="Helvetica-Normal"/>
      </rPr>
      <t>r</t>
    </r>
    <r>
      <rPr>
        <sz val="9"/>
        <rFont val="Helvetica-Normal"/>
      </rPr>
      <t xml:space="preserve"> of the substrate [1].</t>
    </r>
  </si>
  <si>
    <r>
      <t xml:space="preserve">Effective dielectric constant. Accurace within 1% for </t>
    </r>
    <r>
      <rPr>
        <sz val="9"/>
        <rFont val="Symbol"/>
        <family val="1"/>
        <charset val="2"/>
      </rPr>
      <t>e</t>
    </r>
    <r>
      <rPr>
        <vertAlign val="subscript"/>
        <sz val="9"/>
        <rFont val="Helvetica-Normal"/>
      </rPr>
      <t>r</t>
    </r>
    <r>
      <rPr>
        <sz val="9"/>
        <rFont val="Arial"/>
        <family val="2"/>
      </rPr>
      <t>≤</t>
    </r>
    <r>
      <rPr>
        <sz val="9"/>
        <rFont val="Helvetica-Normal"/>
      </rPr>
      <t>16, 0.05</t>
    </r>
    <r>
      <rPr>
        <sz val="9"/>
        <rFont val="Arial"/>
        <family val="2"/>
      </rPr>
      <t>≤</t>
    </r>
    <r>
      <rPr>
        <i/>
        <sz val="9"/>
        <rFont val="Helvetica-Normal"/>
      </rPr>
      <t>w</t>
    </r>
    <r>
      <rPr>
        <sz val="9"/>
        <rFont val="Helvetica-Normal"/>
      </rPr>
      <t>/</t>
    </r>
    <r>
      <rPr>
        <i/>
        <sz val="9"/>
        <rFont val="Helvetica-Normal"/>
      </rPr>
      <t>h</t>
    </r>
    <r>
      <rPr>
        <sz val="9"/>
        <rFont val="Arial"/>
        <family val="2"/>
      </rPr>
      <t>≤</t>
    </r>
    <r>
      <rPr>
        <sz val="9"/>
        <rFont val="Helvetica-Normal"/>
      </rPr>
      <t>20 (&lt;2% error for w/h&lt;0.05) [1].</t>
    </r>
  </si>
  <si>
    <r>
      <t xml:space="preserve">[2] M.Riaziat, I.J.Feng, R.Majidi-Ahy and B.A.Auld, </t>
    </r>
    <r>
      <rPr>
        <i/>
        <sz val="9"/>
        <color theme="1"/>
        <rFont val="Helvetica-Normal"/>
      </rPr>
      <t>Single-mode operation of coplanar waveguides</t>
    </r>
    <r>
      <rPr>
        <sz val="9"/>
        <color theme="1"/>
        <rFont val="Helvetica-Normal"/>
      </rPr>
      <t>, Electronic Letters, Vol. 23, No. 24, 19.Nov.1987, pp.1281-1283</t>
    </r>
  </si>
  <si>
    <r>
      <t>Effective dielectric constant of coplanar stripline with reference plane [1]. To avoid microstrip mode, chose (</t>
    </r>
    <r>
      <rPr>
        <i/>
        <sz val="9"/>
        <rFont val="Helvetica-Normal"/>
      </rPr>
      <t>s</t>
    </r>
    <r>
      <rPr>
        <sz val="9"/>
        <rFont val="Helvetica-Normal"/>
      </rPr>
      <t>+</t>
    </r>
    <r>
      <rPr>
        <i/>
        <sz val="9"/>
        <rFont val="Helvetica-Normal"/>
      </rPr>
      <t>w</t>
    </r>
    <r>
      <rPr>
        <sz val="9"/>
        <rFont val="Helvetica-Normal"/>
      </rPr>
      <t>+</t>
    </r>
    <r>
      <rPr>
        <i/>
        <sz val="9"/>
        <rFont val="Helvetica-Normal"/>
      </rPr>
      <t>s</t>
    </r>
    <r>
      <rPr>
        <sz val="9"/>
        <rFont val="Helvetica-Normal"/>
      </rPr>
      <t>)&gt;&gt;</t>
    </r>
    <r>
      <rPr>
        <i/>
        <sz val="9"/>
        <rFont val="Helvetica-Normal"/>
      </rPr>
      <t>h</t>
    </r>
    <r>
      <rPr>
        <sz val="9"/>
        <rFont val="Helvetica-Normal"/>
      </rPr>
      <t xml:space="preserve"> [2].</t>
    </r>
  </si>
  <si>
    <r>
      <t xml:space="preserve">Auxiliary variable </t>
    </r>
    <r>
      <rPr>
        <i/>
        <sz val="9"/>
        <color theme="1"/>
        <rFont val="Helvetica-Normal"/>
      </rPr>
      <t>k</t>
    </r>
  </si>
  <si>
    <r>
      <t xml:space="preserve">Auxiliary variable </t>
    </r>
    <r>
      <rPr>
        <i/>
        <sz val="9"/>
        <color theme="1"/>
        <rFont val="Helvetica-Normal"/>
      </rPr>
      <t>k'</t>
    </r>
  </si>
  <si>
    <r>
      <t xml:space="preserve">Auxiliary variable </t>
    </r>
    <r>
      <rPr>
        <i/>
        <sz val="9"/>
        <color theme="1"/>
        <rFont val="Helvetica-Normal"/>
      </rPr>
      <t>k1</t>
    </r>
  </si>
  <si>
    <r>
      <t xml:space="preserve">Auxiliary variable </t>
    </r>
    <r>
      <rPr>
        <i/>
        <sz val="9"/>
        <color theme="1"/>
        <rFont val="Helvetica-Normal"/>
      </rPr>
      <t>k1'</t>
    </r>
  </si>
  <si>
    <t>Iteration</t>
  </si>
  <si>
    <t>an</t>
  </si>
  <si>
    <t>bn</t>
  </si>
  <si>
    <t>cn</t>
  </si>
  <si>
    <t>K(k) at interation N = n</t>
  </si>
  <si>
    <t>Calculations</t>
  </si>
  <si>
    <t>0.5</t>
  </si>
  <si>
    <t>0.1</t>
  </si>
  <si>
    <t>Dielectric constant / relative permittivity of the wire insulation.</t>
  </si>
  <si>
    <r>
      <t xml:space="preserve">Relative permittivity </t>
    </r>
    <r>
      <rPr>
        <sz val="9"/>
        <color theme="1"/>
        <rFont val="Symbol"/>
        <family val="1"/>
        <charset val="2"/>
      </rPr>
      <t>e</t>
    </r>
    <r>
      <rPr>
        <vertAlign val="subscript"/>
        <sz val="9"/>
        <color theme="1"/>
        <rFont val="Helvetica-Normal"/>
      </rPr>
      <t>r1</t>
    </r>
  </si>
  <si>
    <r>
      <t xml:space="preserve">Relative permittivity </t>
    </r>
    <r>
      <rPr>
        <sz val="9"/>
        <color theme="1"/>
        <rFont val="Symbol"/>
        <family val="1"/>
        <charset val="2"/>
      </rPr>
      <t>e</t>
    </r>
    <r>
      <rPr>
        <vertAlign val="subscript"/>
        <sz val="9"/>
        <color theme="1"/>
        <rFont val="Helvetica-Normal"/>
      </rPr>
      <t>r2</t>
    </r>
  </si>
  <si>
    <t>Material</t>
  </si>
  <si>
    <r>
      <t>Dielectric Constant ε</t>
    </r>
    <r>
      <rPr>
        <b/>
        <vertAlign val="subscript"/>
        <sz val="8"/>
        <color theme="1"/>
        <rFont val="Calibri"/>
        <family val="2"/>
        <scheme val="minor"/>
      </rPr>
      <t>r</t>
    </r>
    <r>
      <rPr>
        <b/>
        <sz val="8"/>
        <color theme="1"/>
        <rFont val="Calibri"/>
        <family val="2"/>
        <scheme val="minor"/>
      </rPr>
      <t xml:space="preserve"> = Permittivity ε</t>
    </r>
    <r>
      <rPr>
        <b/>
        <vertAlign val="subscript"/>
        <sz val="8"/>
        <color theme="1"/>
        <rFont val="Calibri"/>
        <family val="2"/>
        <scheme val="minor"/>
      </rPr>
      <t>r</t>
    </r>
    <r>
      <rPr>
        <b/>
        <sz val="8"/>
        <color theme="1"/>
        <rFont val="Calibri"/>
        <family val="2"/>
        <scheme val="minor"/>
      </rPr>
      <t xml:space="preserve"> [1]</t>
    </r>
  </si>
  <si>
    <t>60Hz</t>
  </si>
  <si>
    <t>1kHz</t>
  </si>
  <si>
    <t>1MHz</t>
  </si>
  <si>
    <t>100MHz</t>
  </si>
  <si>
    <t>3GHz</t>
  </si>
  <si>
    <t>25GHz</t>
  </si>
  <si>
    <t>-</t>
  </si>
  <si>
    <t>Polycarbonate (PC)</t>
  </si>
  <si>
    <t>Polychlorotrifluoroethylene (PCTFE)</t>
  </si>
  <si>
    <t>Polyethylene (PE)</t>
  </si>
  <si>
    <t>Polyethyleneterephthalate (PET)</t>
  </si>
  <si>
    <t>Polyethylmethacrylate (PEMA)</t>
  </si>
  <si>
    <t>Polyhexamethylene-adipamid (nylon)</t>
  </si>
  <si>
    <t>Polyimide (PI)</t>
  </si>
  <si>
    <t>Polyisobutylene (PIB)</t>
  </si>
  <si>
    <t>Polymer 95% vinyl-chloride (PVC), 5% vinyl-acetate</t>
  </si>
  <si>
    <t>Polymethyl methacrylate (PMMA)</t>
  </si>
  <si>
    <t>Polyphenylene oxide (PPE)</t>
  </si>
  <si>
    <t>Polypropylene (PP)</t>
  </si>
  <si>
    <t>Polystyrene (PS)</t>
  </si>
  <si>
    <t>Polytetrafluoroethylene (PTFE, teflon)</t>
  </si>
  <si>
    <t>Polyvinylcyclohexane (PVCH)</t>
  </si>
  <si>
    <t>Polyvinyl formal (PVF)</t>
  </si>
  <si>
    <t>Polyvinylidene fluoride (PVDF)</t>
  </si>
  <si>
    <t>Urea-formaldehyde, cellulose</t>
  </si>
  <si>
    <t>Urethane elastomer (PUR)</t>
  </si>
  <si>
    <t>6,7-7,5</t>
  </si>
  <si>
    <t>6,5-7,1</t>
  </si>
  <si>
    <t>Vinylidene-vinyl chloride copolymer (PVDC)</t>
  </si>
  <si>
    <t>100% aniline-formaldehyde (Dilecteue-100)</t>
  </si>
  <si>
    <t>100% phenol-formaldehyde</t>
  </si>
  <si>
    <t>100% polyvinyl-chloride (PVC)</t>
  </si>
  <si>
    <r>
      <t xml:space="preserve">Dielectric Constants </t>
    </r>
    <r>
      <rPr>
        <b/>
        <sz val="9"/>
        <color theme="1"/>
        <rFont val="Symbol"/>
        <family val="1"/>
        <charset val="2"/>
      </rPr>
      <t>e</t>
    </r>
    <r>
      <rPr>
        <b/>
        <vertAlign val="subscript"/>
        <sz val="9"/>
        <color theme="1"/>
        <rFont val="Helvetica-Normal"/>
      </rPr>
      <t>r</t>
    </r>
    <r>
      <rPr>
        <b/>
        <sz val="9"/>
        <color theme="1"/>
        <rFont val="Helvetica-Normal"/>
      </rPr>
      <t xml:space="preserve">  of common insulation material - Academy of EMC</t>
    </r>
  </si>
  <si>
    <r>
      <t xml:space="preserve">Dielectric constant / relative permittivity of the surrounding of the twisted pair. In case of air, set </t>
    </r>
    <r>
      <rPr>
        <sz val="9"/>
        <color theme="1"/>
        <rFont val="Symbol"/>
        <family val="1"/>
        <charset val="2"/>
      </rPr>
      <t>e</t>
    </r>
    <r>
      <rPr>
        <vertAlign val="subscript"/>
        <sz val="9"/>
        <color theme="1"/>
        <rFont val="Helvetica-Normal"/>
      </rPr>
      <t>r2</t>
    </r>
    <r>
      <rPr>
        <sz val="9"/>
        <color theme="1"/>
        <rFont val="Helvetica-Normal"/>
      </rPr>
      <t xml:space="preserve"> = 1.</t>
    </r>
  </si>
  <si>
    <r>
      <t xml:space="preserve">Diameter of wire </t>
    </r>
    <r>
      <rPr>
        <i/>
        <sz val="9"/>
        <color theme="1"/>
        <rFont val="Helvetica-Normal"/>
      </rPr>
      <t>D</t>
    </r>
  </si>
  <si>
    <r>
      <t xml:space="preserve">Twists </t>
    </r>
    <r>
      <rPr>
        <i/>
        <sz val="9"/>
        <color theme="1"/>
        <rFont val="Helvetica-Normal"/>
      </rPr>
      <t>T</t>
    </r>
    <r>
      <rPr>
        <sz val="9"/>
        <color theme="1"/>
        <rFont val="Helvetica-Normal"/>
      </rPr>
      <t xml:space="preserve"> per [m]</t>
    </r>
  </si>
  <si>
    <r>
      <t xml:space="preserve">Diameter of a single wire of the twisted pair. Use the same unit for the diameter </t>
    </r>
    <r>
      <rPr>
        <i/>
        <sz val="9"/>
        <color theme="1"/>
        <rFont val="Helvetica-Normal"/>
      </rPr>
      <t>D</t>
    </r>
    <r>
      <rPr>
        <sz val="9"/>
        <color theme="1"/>
        <rFont val="Helvetica-Normal"/>
      </rPr>
      <t xml:space="preserve"> as for twists </t>
    </r>
    <r>
      <rPr>
        <i/>
        <sz val="9"/>
        <color theme="1"/>
        <rFont val="Helvetica-Normal"/>
      </rPr>
      <t xml:space="preserve">T </t>
    </r>
    <r>
      <rPr>
        <sz val="9"/>
        <color theme="1"/>
        <rFont val="Helvetica-Normal"/>
      </rPr>
      <t>per unit length.</t>
    </r>
  </si>
  <si>
    <t>0.002</t>
  </si>
  <si>
    <r>
      <t xml:space="preserve">Twists per meter [m]. If you set the number of twists not per [m] but e.g. per [cm], you have to use [cm] as unit for diameter </t>
    </r>
    <r>
      <rPr>
        <i/>
        <sz val="9"/>
        <color theme="1"/>
        <rFont val="Helvetica-Normal"/>
      </rPr>
      <t>D</t>
    </r>
    <r>
      <rPr>
        <sz val="9"/>
        <color theme="1"/>
        <rFont val="Helvetica-Normal"/>
      </rPr>
      <t>.</t>
    </r>
  </si>
  <si>
    <t>300</t>
  </si>
  <si>
    <r>
      <t xml:space="preserve">[1] </t>
    </r>
    <r>
      <rPr>
        <i/>
        <sz val="9"/>
        <color theme="1"/>
        <rFont val="Helvetica-Normal"/>
      </rPr>
      <t>Reference Data for Engineers</t>
    </r>
    <r>
      <rPr>
        <sz val="9"/>
        <color theme="1"/>
        <rFont val="Helvetica-Normal"/>
      </rPr>
      <t>, Newens, 9th Edition, 2002, pages: 4-40 to 4-23</t>
    </r>
  </si>
  <si>
    <t>[3] Peter Lefferson, Twisted Magnet Wire Transmission Line, IEEE Transactoins on parts, hybrids, and packaging, Vol. PHP-7, No. 4, 1971 pp. 148-154</t>
  </si>
  <si>
    <r>
      <t xml:space="preserve">Dielectric constant / relative permittivity of the surrounding of the twisted pair. In case of air (e.g. for ribbon cable), set </t>
    </r>
    <r>
      <rPr>
        <sz val="9"/>
        <color theme="1"/>
        <rFont val="Symbol"/>
        <family val="1"/>
        <charset val="2"/>
      </rPr>
      <t>e</t>
    </r>
    <r>
      <rPr>
        <vertAlign val="subscript"/>
        <sz val="9"/>
        <color theme="1"/>
        <rFont val="Helvetica-Normal"/>
      </rPr>
      <t>r2</t>
    </r>
    <r>
      <rPr>
        <sz val="9"/>
        <color theme="1"/>
        <rFont val="Helvetica-Normal"/>
      </rPr>
      <t xml:space="preserve"> = 1.</t>
    </r>
  </si>
  <si>
    <t>Parallel wires / Ribbon cable</t>
  </si>
  <si>
    <t>Twisted pair / Twisted pair cable</t>
  </si>
  <si>
    <t>3</t>
  </si>
  <si>
    <t>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</si>
</sst>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000"/>
  </numFmts>
  <fonts count="47">
    <font>
      <sz val="11"/>
      <color theme="1"/>
      <name val="Calibri"/>
      <family val="2"/>
      <scheme val="minor"/>
    </font>
    <font>
      <b/>
      <sz val="9"/>
      <color theme="1"/>
      <name val="Helvetica-Normal"/>
    </font>
    <font>
      <sz val="9"/>
      <color theme="1"/>
      <name val="Helvetica-Normal"/>
    </font>
    <font>
      <i/>
      <sz val="9"/>
      <color theme="1"/>
      <name val="Helvetica-Normal"/>
    </font>
    <font>
      <sz val="9"/>
      <color theme="1"/>
      <name val="Symbol"/>
      <family val="1"/>
      <charset val="2"/>
    </font>
    <font>
      <vertAlign val="subscript"/>
      <sz val="9"/>
      <color theme="1"/>
      <name val="Helvetica-Normal"/>
    </font>
    <font>
      <vertAlign val="superscript"/>
      <sz val="9"/>
      <color theme="1"/>
      <name val="Helvetica-Normal"/>
    </font>
    <font>
      <i/>
      <vertAlign val="subscript"/>
      <sz val="9"/>
      <color theme="1"/>
      <name val="Helvetica-Normal"/>
    </font>
    <font>
      <sz val="11"/>
      <color theme="1"/>
      <name val="Calibri"/>
      <family val="2"/>
      <scheme val="minor"/>
    </font>
    <font>
      <sz val="9"/>
      <color theme="1"/>
      <name val="Calibri"/>
      <family val="2"/>
      <scheme val="minor"/>
    </font>
    <font>
      <b/>
      <i/>
      <sz val="9"/>
      <color theme="1"/>
      <name val="Helvetica-Normal"/>
    </font>
    <font>
      <b/>
      <i/>
      <vertAlign val="subscript"/>
      <sz val="9"/>
      <color theme="1"/>
      <name val="Helvetica-Normal"/>
    </font>
    <font>
      <i/>
      <sz val="9"/>
      <color theme="1"/>
      <name val="Symbol"/>
      <family val="1"/>
      <charset val="2"/>
    </font>
    <font>
      <b/>
      <sz val="9"/>
      <color theme="1"/>
      <name val="Symbol"/>
      <family val="1"/>
      <charset val="2"/>
    </font>
    <font>
      <b/>
      <sz val="9"/>
      <color theme="1"/>
      <name val="Calibri"/>
      <family val="2"/>
      <scheme val="minor"/>
    </font>
    <font>
      <b/>
      <sz val="9"/>
      <color theme="1"/>
      <name val="Helvetica-Normal"/>
      <family val="1"/>
      <charset val="2"/>
    </font>
    <font>
      <sz val="8"/>
      <name val="Calibri"/>
      <family val="2"/>
      <scheme val="minor"/>
    </font>
    <font>
      <b/>
      <i/>
      <sz val="9"/>
      <color theme="1"/>
      <name val="Symbol"/>
      <family val="1"/>
      <charset val="2"/>
    </font>
    <font>
      <b/>
      <sz val="9"/>
      <color rgb="FF0066CC"/>
      <name val="Helvetica-Normal"/>
    </font>
    <font>
      <b/>
      <sz val="9"/>
      <color rgb="FF767171"/>
      <name val="Helvetica-Normal"/>
    </font>
    <font>
      <b/>
      <sz val="9"/>
      <color theme="5"/>
      <name val="Helvetica-Normal"/>
    </font>
    <font>
      <b/>
      <sz val="9"/>
      <name val="Helvetica-Normal"/>
    </font>
    <font>
      <b/>
      <sz val="9"/>
      <name val="Symbol"/>
      <family val="1"/>
      <charset val="2"/>
    </font>
    <font>
      <sz val="9"/>
      <color theme="1"/>
      <name val="Helvetica-Normal"/>
      <family val="1"/>
      <charset val="2"/>
    </font>
    <font>
      <sz val="9"/>
      <color rgb="FFFF0000"/>
      <name val="Calibri"/>
      <family val="2"/>
      <scheme val="minor"/>
    </font>
    <font>
      <b/>
      <sz val="9"/>
      <color rgb="FFFF0000"/>
      <name val="Helvetica-Normal"/>
    </font>
    <font>
      <b/>
      <sz val="9"/>
      <color rgb="FFFF0000"/>
      <name val="Calibri"/>
      <family val="2"/>
      <scheme val="minor"/>
    </font>
    <font>
      <sz val="9"/>
      <color rgb="FFFF0000"/>
      <name val="Helvetica-Normal"/>
    </font>
    <font>
      <sz val="7"/>
      <name val="Helvetica-Normal"/>
    </font>
    <font>
      <b/>
      <sz val="11"/>
      <color theme="1"/>
      <name val="Calibri"/>
      <family val="2"/>
      <scheme val="minor"/>
    </font>
    <font>
      <b/>
      <i/>
      <sz val="11"/>
      <color theme="1"/>
      <name val="Calibri"/>
      <family val="2"/>
      <scheme val="minor"/>
    </font>
    <font>
      <b/>
      <vertAlign val="subscript"/>
      <sz val="11"/>
      <color theme="1"/>
      <name val="Calibri"/>
      <family val="2"/>
      <scheme val="minor"/>
    </font>
    <font>
      <b/>
      <sz val="11"/>
      <color theme="1"/>
      <name val="Calibri"/>
      <family val="2"/>
    </font>
    <font>
      <sz val="7"/>
      <color theme="1"/>
      <name val="Helvetica-Normal"/>
    </font>
    <font>
      <b/>
      <vertAlign val="subscript"/>
      <sz val="9"/>
      <color theme="1"/>
      <name val="Helvetica-Normal"/>
    </font>
    <font>
      <sz val="10"/>
      <color theme="1"/>
      <name val="Arial"/>
      <family val="2"/>
    </font>
    <font>
      <b/>
      <sz val="9"/>
      <color theme="1"/>
      <name val="Arial"/>
      <family val="2"/>
    </font>
    <font>
      <sz val="9"/>
      <color theme="1"/>
      <name val="Arial"/>
      <family val="2"/>
    </font>
    <font>
      <sz val="9"/>
      <name val="Helvetica-Normal"/>
    </font>
    <font>
      <sz val="9"/>
      <name val="Calibri"/>
      <family val="2"/>
      <scheme val="minor"/>
    </font>
    <font>
      <sz val="9"/>
      <name val="Symbol"/>
      <family val="1"/>
      <charset val="2"/>
    </font>
    <font>
      <vertAlign val="subscript"/>
      <sz val="9"/>
      <name val="Helvetica-Normal"/>
    </font>
    <font>
      <i/>
      <sz val="9"/>
      <name val="Helvetica-Normal"/>
    </font>
    <font>
      <sz val="9"/>
      <name val="Arial"/>
      <family val="2"/>
    </font>
    <font>
      <b/>
      <sz val="8"/>
      <color theme="1"/>
      <name val="Calibri"/>
      <family val="2"/>
      <scheme val="minor"/>
    </font>
    <font>
      <b/>
      <vertAlign val="subscript"/>
      <sz val="8"/>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theme="2" tint="-0.24994659260841701"/>
      </top>
      <bottom style="thin">
        <color theme="2" tint="-0.24994659260841701"/>
      </bottom>
      <diagonal/>
    </border>
    <border>
      <left/>
      <right style="thin">
        <color indexed="64"/>
      </right>
      <top/>
      <bottom/>
      <diagonal/>
    </border>
    <border>
      <left style="thin">
        <color indexed="64"/>
      </left>
      <right style="thin">
        <color indexed="64"/>
      </right>
      <top style="thin">
        <color indexed="64"/>
      </top>
      <bottom/>
      <diagonal/>
    </border>
    <border>
      <left/>
      <right/>
      <top style="thin">
        <color theme="2" tint="-0.24994659260841701"/>
      </top>
      <bottom style="thin">
        <color theme="2" tint="-0.24994659260841701"/>
      </bottom>
      <diagonal/>
    </border>
    <border>
      <left style="thin">
        <color theme="2" tint="-0.24994659260841701"/>
      </left>
      <right style="thin">
        <color theme="2" tint="-0.24994659260841701"/>
      </right>
      <top style="thin">
        <color indexed="64"/>
      </top>
      <bottom style="thin">
        <color indexed="64"/>
      </bottom>
      <diagonal/>
    </border>
    <border>
      <left style="thin">
        <color theme="2" tint="-0.24994659260841701"/>
      </left>
      <right style="thin">
        <color theme="2" tint="-0.24994659260841701"/>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indexed="64"/>
      </top>
      <bottom style="thin">
        <color indexed="64"/>
      </bottom>
      <diagonal/>
    </border>
    <border>
      <left style="thin">
        <color theme="2" tint="-0.24994659260841701"/>
      </left>
      <right/>
      <top/>
      <bottom/>
      <diagonal/>
    </border>
    <border>
      <left style="thin">
        <color theme="2" tint="-0.24994659260841701"/>
      </left>
      <right/>
      <top style="thin">
        <color theme="2" tint="-0.24994659260841701"/>
      </top>
      <bottom style="thin">
        <color theme="2" tint="-0.24994659260841701"/>
      </bottom>
      <diagonal/>
    </border>
    <border>
      <left/>
      <right/>
      <top style="thin">
        <color indexed="64"/>
      </top>
      <bottom/>
      <diagonal/>
    </border>
    <border>
      <left style="thin">
        <color indexed="64"/>
      </left>
      <right/>
      <top style="thin">
        <color theme="2" tint="-0.24994659260841701"/>
      </top>
      <bottom style="thin">
        <color theme="2" tint="-0.24994659260841701"/>
      </bottom>
      <diagonal/>
    </border>
  </borders>
  <cellStyleXfs count="2">
    <xf numFmtId="0" fontId="0" fillId="0" borderId="0"/>
    <xf numFmtId="164" fontId="8" fillId="0" borderId="0" applyFont="0" applyFill="0" applyBorder="0" applyAlignment="0" applyProtection="0"/>
  </cellStyleXfs>
  <cellXfs count="293">
    <xf numFmtId="0" fontId="0" fillId="0" borderId="0" xfId="0"/>
    <xf numFmtId="0" fontId="2" fillId="0" borderId="0" xfId="0" applyFont="1"/>
    <xf numFmtId="0" fontId="2" fillId="0" borderId="0" xfId="0" applyNumberFormat="1" applyFont="1" applyAlignment="1" applyProtection="1">
      <alignment horizontal="center" vertical="center"/>
    </xf>
    <xf numFmtId="0" fontId="2" fillId="0" borderId="4" xfId="1" applyNumberFormat="1" applyFont="1" applyBorder="1" applyAlignment="1" applyProtection="1">
      <alignment horizontal="center" vertical="center"/>
    </xf>
    <xf numFmtId="0" fontId="2" fillId="2" borderId="0" xfId="0" applyNumberFormat="1" applyFont="1" applyFill="1" applyAlignment="1" applyProtection="1">
      <alignment horizontal="center" vertical="center"/>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Protection="1">
      <protection locked="0"/>
    </xf>
    <xf numFmtId="0" fontId="2" fillId="0" borderId="0" xfId="0" applyFont="1" applyAlignment="1" applyProtection="1">
      <alignment vertical="center"/>
      <protection locked="0"/>
    </xf>
    <xf numFmtId="0" fontId="1" fillId="0" borderId="0" xfId="0" applyFont="1" applyAlignment="1" applyProtection="1">
      <alignment vertical="center"/>
      <protection locked="0"/>
    </xf>
    <xf numFmtId="0" fontId="9" fillId="0" borderId="0" xfId="0" applyFont="1"/>
    <xf numFmtId="0" fontId="2" fillId="0" borderId="0" xfId="0" applyFont="1" applyBorder="1" applyAlignment="1" applyProtection="1">
      <alignment horizontal="center" vertical="center"/>
      <protection locked="0"/>
    </xf>
    <xf numFmtId="0" fontId="2" fillId="2" borderId="6" xfId="0" applyNumberFormat="1" applyFont="1" applyFill="1" applyBorder="1" applyAlignment="1" applyProtection="1">
      <alignment horizontal="center" vertical="center"/>
    </xf>
    <xf numFmtId="49" fontId="1" fillId="3" borderId="0" xfId="0" applyNumberFormat="1" applyFont="1" applyFill="1" applyAlignment="1" applyProtection="1">
      <alignment horizontal="center" vertical="center"/>
      <protection locked="0"/>
    </xf>
    <xf numFmtId="0" fontId="2" fillId="3" borderId="0" xfId="0" applyFont="1" applyFill="1" applyProtection="1">
      <protection locked="0"/>
    </xf>
    <xf numFmtId="0" fontId="2" fillId="0" borderId="0" xfId="0" applyFont="1" applyBorder="1" applyProtection="1">
      <protection locked="0"/>
    </xf>
    <xf numFmtId="0" fontId="2" fillId="2" borderId="0" xfId="0" applyNumberFormat="1" applyFont="1" applyFill="1" applyProtection="1"/>
    <xf numFmtId="0" fontId="2" fillId="0" borderId="0" xfId="0" applyNumberFormat="1" applyFont="1" applyProtection="1"/>
    <xf numFmtId="0" fontId="2" fillId="0" borderId="8" xfId="0" applyNumberFormat="1" applyFont="1" applyBorder="1" applyAlignment="1" applyProtection="1">
      <alignment horizontal="left" vertical="center"/>
    </xf>
    <xf numFmtId="0" fontId="2" fillId="0" borderId="4" xfId="0" applyNumberFormat="1" applyFont="1" applyBorder="1" applyAlignment="1" applyProtection="1">
      <alignment horizontal="left" vertical="center"/>
    </xf>
    <xf numFmtId="0" fontId="9" fillId="0" borderId="1" xfId="0" applyFont="1" applyBorder="1"/>
    <xf numFmtId="0" fontId="9" fillId="0" borderId="0" xfId="0" applyFont="1" applyAlignment="1"/>
    <xf numFmtId="0" fontId="2" fillId="2" borderId="4" xfId="0" applyNumberFormat="1" applyFont="1" applyFill="1" applyBorder="1" applyAlignment="1" applyProtection="1">
      <alignment horizontal="center" vertical="center"/>
    </xf>
    <xf numFmtId="0" fontId="1" fillId="0" borderId="1" xfId="0" applyFont="1" applyBorder="1" applyAlignment="1" applyProtection="1">
      <alignment vertical="center"/>
      <protection locked="0"/>
    </xf>
    <xf numFmtId="49" fontId="2" fillId="0" borderId="0" xfId="0" applyNumberFormat="1" applyFont="1" applyAlignment="1" applyProtection="1">
      <alignment horizontal="center" vertical="center"/>
    </xf>
    <xf numFmtId="49" fontId="2" fillId="0" borderId="4" xfId="0" applyNumberFormat="1" applyFont="1" applyBorder="1" applyAlignment="1" applyProtection="1">
      <alignment horizontal="center" vertical="center"/>
    </xf>
    <xf numFmtId="0" fontId="9" fillId="0" borderId="0" xfId="0" applyNumberFormat="1" applyFont="1"/>
    <xf numFmtId="49" fontId="2" fillId="0" borderId="0" xfId="0" applyNumberFormat="1" applyFont="1" applyBorder="1" applyAlignment="1" applyProtection="1">
      <alignment horizontal="center" vertical="center"/>
    </xf>
    <xf numFmtId="0" fontId="14" fillId="0" borderId="0" xfId="0" applyFont="1"/>
    <xf numFmtId="49" fontId="1" fillId="3" borderId="1" xfId="0" applyNumberFormat="1" applyFont="1" applyFill="1" applyBorder="1" applyAlignment="1" applyProtection="1">
      <alignment horizontal="center" vertical="center"/>
      <protection locked="0"/>
    </xf>
    <xf numFmtId="0" fontId="9" fillId="0" borderId="0" xfId="0" applyFont="1" applyBorder="1"/>
    <xf numFmtId="0" fontId="2" fillId="0" borderId="0" xfId="0" applyFont="1" applyBorder="1"/>
    <xf numFmtId="11" fontId="2" fillId="0" borderId="0" xfId="0" applyNumberFormat="1" applyFont="1" applyFill="1" applyBorder="1" applyAlignment="1" applyProtection="1">
      <alignment vertical="center"/>
      <protection locked="0"/>
    </xf>
    <xf numFmtId="11" fontId="2" fillId="0" borderId="0" xfId="0" applyNumberFormat="1" applyFont="1" applyFill="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9" fillId="0" borderId="0" xfId="0" applyNumberFormat="1" applyFont="1" applyBorder="1"/>
    <xf numFmtId="49" fontId="9" fillId="0" borderId="0" xfId="0" applyNumberFormat="1" applyFont="1" applyBorder="1"/>
    <xf numFmtId="0" fontId="9" fillId="0" borderId="1" xfId="0" applyNumberFormat="1" applyFont="1" applyBorder="1"/>
    <xf numFmtId="0" fontId="2" fillId="0" borderId="0" xfId="0" applyFont="1" applyBorder="1" applyAlignment="1" applyProtection="1">
      <alignment horizontal="left"/>
      <protection locked="0"/>
    </xf>
    <xf numFmtId="0" fontId="1" fillId="0" borderId="7" xfId="0" applyFont="1" applyBorder="1" applyAlignment="1" applyProtection="1">
      <alignment horizontal="left" vertical="center"/>
      <protection locked="0"/>
    </xf>
    <xf numFmtId="0" fontId="1" fillId="0" borderId="7" xfId="0" applyFont="1" applyBorder="1" applyAlignment="1" applyProtection="1">
      <alignment horizontal="left"/>
      <protection locked="0"/>
    </xf>
    <xf numFmtId="165" fontId="2" fillId="3" borderId="8" xfId="0" applyNumberFormat="1" applyFont="1" applyFill="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49" fontId="2" fillId="3" borderId="0" xfId="0" applyNumberFormat="1" applyFont="1" applyFill="1" applyAlignment="1" applyProtection="1">
      <alignment horizontal="right" vertical="center"/>
      <protection locked="0"/>
    </xf>
    <xf numFmtId="49" fontId="2" fillId="3" borderId="8" xfId="0" applyNumberFormat="1" applyFont="1" applyFill="1" applyBorder="1" applyAlignment="1" applyProtection="1">
      <alignment horizontal="left" vertical="center"/>
      <protection locked="0"/>
    </xf>
    <xf numFmtId="49" fontId="9" fillId="0" borderId="1" xfId="0" applyNumberFormat="1" applyFont="1" applyBorder="1"/>
    <xf numFmtId="0" fontId="24" fillId="0" borderId="0" xfId="0" applyFont="1"/>
    <xf numFmtId="0" fontId="26" fillId="0" borderId="0" xfId="0" applyFont="1"/>
    <xf numFmtId="0" fontId="27" fillId="0" borderId="0" xfId="0" applyFont="1"/>
    <xf numFmtId="0" fontId="2" fillId="0" borderId="6" xfId="0" applyFont="1" applyBorder="1" applyAlignment="1" applyProtection="1">
      <alignment horizontal="left" vertical="center"/>
    </xf>
    <xf numFmtId="0" fontId="9" fillId="0" borderId="0" xfId="0" applyNumberFormat="1" applyFont="1" applyProtection="1"/>
    <xf numFmtId="0" fontId="9" fillId="0" borderId="0" xfId="0" applyFont="1" applyProtection="1"/>
    <xf numFmtId="0" fontId="2" fillId="0" borderId="4" xfId="0" applyFont="1" applyBorder="1" applyAlignment="1" applyProtection="1">
      <alignment horizontal="left" vertical="center"/>
    </xf>
    <xf numFmtId="0" fontId="1" fillId="0" borderId="0" xfId="0" applyFont="1" applyProtection="1"/>
    <xf numFmtId="0" fontId="2" fillId="0" borderId="0" xfId="0" applyFont="1" applyProtection="1"/>
    <xf numFmtId="0" fontId="9" fillId="0" borderId="2" xfId="0" applyFont="1" applyBorder="1" applyProtection="1"/>
    <xf numFmtId="0" fontId="2" fillId="0" borderId="2" xfId="0" applyFont="1" applyBorder="1" applyProtection="1"/>
    <xf numFmtId="0" fontId="9" fillId="0" borderId="1" xfId="0" applyFont="1" applyBorder="1" applyProtection="1"/>
    <xf numFmtId="0" fontId="14" fillId="0" borderId="1" xfId="0" applyFont="1" applyBorder="1" applyProtection="1"/>
    <xf numFmtId="2" fontId="2" fillId="0" borderId="0" xfId="0" applyNumberFormat="1" applyFont="1" applyProtection="1"/>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2" fillId="0" borderId="0" xfId="0" applyFont="1" applyAlignment="1" applyProtection="1">
      <alignment horizontal="left" vertical="center"/>
    </xf>
    <xf numFmtId="0" fontId="1" fillId="0" borderId="9" xfId="0" applyFont="1" applyBorder="1" applyAlignment="1" applyProtection="1">
      <alignment horizontal="left"/>
    </xf>
    <xf numFmtId="0" fontId="2" fillId="0" borderId="2" xfId="0" applyFont="1" applyBorder="1" applyAlignment="1" applyProtection="1">
      <alignment horizontal="center" vertical="center"/>
    </xf>
    <xf numFmtId="0" fontId="1" fillId="0" borderId="2" xfId="0" applyFont="1" applyBorder="1" applyAlignment="1" applyProtection="1">
      <alignment horizontal="left"/>
    </xf>
    <xf numFmtId="0" fontId="2" fillId="0" borderId="0" xfId="0" applyFont="1" applyAlignment="1" applyProtection="1">
      <alignment horizontal="center" vertical="center"/>
    </xf>
    <xf numFmtId="0" fontId="2" fillId="0" borderId="1" xfId="0" applyFont="1" applyBorder="1" applyProtection="1"/>
    <xf numFmtId="0" fontId="2" fillId="0" borderId="1" xfId="0" applyFont="1" applyBorder="1" applyAlignment="1" applyProtection="1">
      <alignment horizontal="center" vertical="center"/>
    </xf>
    <xf numFmtId="0" fontId="2" fillId="0" borderId="2" xfId="0" applyFont="1" applyBorder="1" applyAlignment="1" applyProtection="1">
      <alignment horizontal="left" vertical="center"/>
    </xf>
    <xf numFmtId="0" fontId="1" fillId="0" borderId="7" xfId="0" applyFont="1" applyBorder="1" applyAlignment="1" applyProtection="1">
      <alignment horizontal="left" vertical="center"/>
    </xf>
    <xf numFmtId="0" fontId="2" fillId="0" borderId="2" xfId="0" applyNumberFormat="1" applyFont="1" applyBorder="1" applyProtection="1"/>
    <xf numFmtId="0" fontId="2" fillId="0" borderId="0" xfId="0" applyFont="1" applyBorder="1" applyProtection="1"/>
    <xf numFmtId="0" fontId="2" fillId="0" borderId="0" xfId="0" applyNumberFormat="1" applyFont="1" applyBorder="1" applyProtection="1"/>
    <xf numFmtId="0" fontId="2" fillId="0" borderId="0" xfId="0" applyFont="1" applyAlignment="1" applyProtection="1"/>
    <xf numFmtId="0" fontId="1" fillId="0" borderId="3" xfId="0" applyFont="1" applyBorder="1" applyAlignment="1" applyProtection="1">
      <alignment horizontal="left"/>
    </xf>
    <xf numFmtId="0" fontId="2" fillId="0" borderId="0" xfId="0" applyFont="1" applyBorder="1" applyAlignment="1" applyProtection="1">
      <alignment horizontal="left" vertical="center"/>
    </xf>
    <xf numFmtId="0" fontId="9" fillId="0" borderId="0" xfId="0" applyFont="1" applyBorder="1" applyProtection="1"/>
    <xf numFmtId="0" fontId="2" fillId="0" borderId="4" xfId="0" applyFont="1" applyBorder="1" applyProtection="1"/>
    <xf numFmtId="0" fontId="1" fillId="0" borderId="11" xfId="0" applyFont="1" applyBorder="1" applyAlignment="1" applyProtection="1">
      <alignment horizontal="left" vertical="center"/>
    </xf>
    <xf numFmtId="0" fontId="1" fillId="0" borderId="9" xfId="0" applyFont="1" applyBorder="1" applyAlignment="1" applyProtection="1">
      <alignment horizontal="left" vertical="center"/>
    </xf>
    <xf numFmtId="0" fontId="2" fillId="0" borderId="8" xfId="0" applyFont="1" applyBorder="1" applyAlignment="1" applyProtection="1">
      <alignment horizontal="left" vertical="center"/>
    </xf>
    <xf numFmtId="0" fontId="23" fillId="0" borderId="4" xfId="0" applyFont="1" applyBorder="1" applyAlignment="1" applyProtection="1">
      <alignment horizontal="left" vertical="center"/>
    </xf>
    <xf numFmtId="0" fontId="21" fillId="0" borderId="4"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5" fillId="0" borderId="2" xfId="0" applyFont="1" applyBorder="1" applyAlignment="1" applyProtection="1">
      <alignment horizontal="center" vertical="center"/>
    </xf>
    <xf numFmtId="0" fontId="20" fillId="0" borderId="3"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8" fillId="0" borderId="3" xfId="0" applyNumberFormat="1" applyFont="1" applyBorder="1" applyAlignment="1" applyProtection="1">
      <alignment horizontal="center" vertical="center" wrapText="1"/>
    </xf>
    <xf numFmtId="11"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 xfId="0" applyNumberFormat="1" applyFont="1" applyBorder="1" applyAlignment="1" applyProtection="1">
      <alignment horizontal="center"/>
    </xf>
    <xf numFmtId="49" fontId="2" fillId="0" borderId="4" xfId="0" applyNumberFormat="1" applyFont="1" applyBorder="1" applyAlignment="1" applyProtection="1">
      <alignment horizontal="center"/>
    </xf>
    <xf numFmtId="11" fontId="2" fillId="0" borderId="0" xfId="0" applyNumberFormat="1" applyFont="1" applyAlignment="1" applyProtection="1">
      <alignment horizontal="center"/>
    </xf>
    <xf numFmtId="0" fontId="2" fillId="0" borderId="0" xfId="0" applyFont="1" applyAlignment="1" applyProtection="1">
      <alignment horizontal="center"/>
    </xf>
    <xf numFmtId="0" fontId="2" fillId="0" borderId="4" xfId="0" applyFont="1" applyBorder="1" applyAlignment="1" applyProtection="1">
      <alignment horizontal="center"/>
    </xf>
    <xf numFmtId="11" fontId="2" fillId="0" borderId="0" xfId="0" applyNumberFormat="1" applyFont="1" applyFill="1" applyBorder="1" applyAlignment="1" applyProtection="1">
      <alignment vertical="center"/>
    </xf>
    <xf numFmtId="0" fontId="1" fillId="0" borderId="3" xfId="0" applyFont="1" applyBorder="1" applyAlignment="1" applyProtection="1">
      <alignment horizontal="center"/>
    </xf>
    <xf numFmtId="0" fontId="1" fillId="0" borderId="1" xfId="0" applyFont="1" applyBorder="1" applyAlignment="1" applyProtection="1">
      <alignment vertical="center"/>
    </xf>
    <xf numFmtId="0" fontId="1" fillId="0" borderId="9" xfId="0" applyFont="1" applyBorder="1" applyAlignment="1" applyProtection="1">
      <alignment horizontal="center"/>
    </xf>
    <xf numFmtId="0" fontId="2" fillId="0" borderId="9" xfId="0" applyFont="1" applyBorder="1" applyAlignment="1" applyProtection="1">
      <alignment horizontal="left" vertical="center"/>
    </xf>
    <xf numFmtId="0" fontId="1" fillId="0" borderId="9" xfId="0" applyFont="1" applyBorder="1" applyAlignment="1" applyProtection="1"/>
    <xf numFmtId="0" fontId="0" fillId="0" borderId="0" xfId="0" applyProtection="1"/>
    <xf numFmtId="0" fontId="0" fillId="0" borderId="1" xfId="0" applyBorder="1" applyProtection="1"/>
    <xf numFmtId="0" fontId="0" fillId="0" borderId="0" xfId="0" applyBorder="1" applyProtection="1"/>
    <xf numFmtId="0" fontId="1" fillId="0" borderId="5" xfId="0" applyFont="1" applyBorder="1" applyAlignment="1" applyProtection="1">
      <alignment horizontal="left" vertical="center"/>
    </xf>
    <xf numFmtId="0" fontId="1" fillId="0" borderId="2" xfId="0" applyFont="1" applyBorder="1" applyAlignment="1" applyProtection="1">
      <alignment vertical="center"/>
    </xf>
    <xf numFmtId="0" fontId="1" fillId="0" borderId="5" xfId="0" applyFont="1" applyBorder="1" applyAlignment="1" applyProtection="1">
      <alignment vertical="center"/>
    </xf>
    <xf numFmtId="0" fontId="2" fillId="0" borderId="3" xfId="0" applyFont="1" applyBorder="1" applyAlignment="1" applyProtection="1">
      <alignment horizontal="center" vertical="center"/>
    </xf>
    <xf numFmtId="0" fontId="2" fillId="0" borderId="1" xfId="0" applyFont="1" applyBorder="1" applyAlignment="1" applyProtection="1">
      <alignment horizontal="left" vertical="center"/>
    </xf>
    <xf numFmtId="0" fontId="1" fillId="0" borderId="7" xfId="0" applyFont="1" applyBorder="1" applyAlignment="1" applyProtection="1">
      <alignment horizontal="left"/>
    </xf>
    <xf numFmtId="0" fontId="28" fillId="0" borderId="0" xfId="0" applyFont="1" applyAlignment="1" applyProtection="1">
      <alignment horizontal="left" vertical="center" wrapText="1"/>
    </xf>
    <xf numFmtId="0" fontId="2" fillId="2" borderId="4" xfId="0" applyNumberFormat="1" applyFont="1" applyFill="1" applyBorder="1" applyProtection="1"/>
    <xf numFmtId="0" fontId="2" fillId="0" borderId="4" xfId="0" applyNumberFormat="1" applyFont="1" applyBorder="1" applyProtection="1"/>
    <xf numFmtId="0" fontId="28" fillId="0" borderId="0" xfId="0" applyFont="1" applyAlignment="1" applyProtection="1">
      <alignment vertical="center" wrapText="1"/>
    </xf>
    <xf numFmtId="11" fontId="23" fillId="0" borderId="8" xfId="0" applyNumberFormat="1" applyFont="1" applyBorder="1" applyAlignment="1" applyProtection="1">
      <alignment horizontal="left"/>
    </xf>
    <xf numFmtId="0" fontId="15" fillId="0" borderId="1" xfId="0" applyFont="1" applyBorder="1" applyAlignment="1" applyProtection="1">
      <alignment horizontal="center"/>
    </xf>
    <xf numFmtId="0" fontId="9" fillId="0" borderId="2" xfId="0" applyFont="1" applyBorder="1"/>
    <xf numFmtId="0" fontId="2" fillId="0" borderId="2" xfId="0" applyFont="1" applyBorder="1" applyAlignment="1" applyProtection="1"/>
    <xf numFmtId="166" fontId="0" fillId="0" borderId="0" xfId="0" applyNumberFormat="1" applyProtection="1"/>
    <xf numFmtId="0" fontId="29" fillId="0" borderId="0" xfId="0" applyFont="1" applyProtection="1"/>
    <xf numFmtId="0" fontId="1" fillId="0" borderId="3" xfId="0" applyFont="1" applyBorder="1" applyProtection="1"/>
    <xf numFmtId="0" fontId="23" fillId="0" borderId="4" xfId="0" applyFont="1" applyBorder="1" applyProtection="1"/>
    <xf numFmtId="0" fontId="2" fillId="2" borderId="6" xfId="0" applyFont="1" applyFill="1" applyBorder="1" applyProtection="1"/>
    <xf numFmtId="49" fontId="2" fillId="0" borderId="4" xfId="0" applyNumberFormat="1" applyFont="1" applyBorder="1" applyProtection="1"/>
    <xf numFmtId="0" fontId="2" fillId="2" borderId="0" xfId="0" applyFont="1" applyFill="1" applyProtection="1"/>
    <xf numFmtId="49" fontId="2" fillId="0" borderId="0" xfId="0" applyNumberFormat="1" applyFont="1" applyAlignment="1" applyProtection="1">
      <alignment horizontal="center"/>
    </xf>
    <xf numFmtId="0" fontId="2" fillId="0" borderId="0" xfId="0" applyFont="1" applyAlignment="1" applyProtection="1">
      <alignment horizontal="left" vertical="center"/>
    </xf>
    <xf numFmtId="0" fontId="2" fillId="0" borderId="4" xfId="0" applyFont="1" applyBorder="1" applyAlignment="1" applyProtection="1">
      <alignment horizontal="left"/>
    </xf>
    <xf numFmtId="0" fontId="29" fillId="0" borderId="0" xfId="0"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49" fontId="2" fillId="0" borderId="0" xfId="0" quotePrefix="1" applyNumberFormat="1" applyFont="1" applyBorder="1" applyAlignment="1" applyProtection="1">
      <alignment horizontal="center" vertical="center"/>
    </xf>
    <xf numFmtId="0" fontId="30" fillId="0" borderId="3" xfId="0" applyFont="1" applyFill="1" applyBorder="1" applyAlignment="1" applyProtection="1">
      <alignment horizontal="center" vertical="center"/>
    </xf>
    <xf numFmtId="0" fontId="32" fillId="0" borderId="3"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29" fillId="0" borderId="3"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13" xfId="0" applyFont="1" applyBorder="1" applyAlignment="1" applyProtection="1">
      <alignment horizontal="center" vertical="center" wrapText="1"/>
    </xf>
    <xf numFmtId="0" fontId="2" fillId="0" borderId="0" xfId="0" quotePrefix="1" applyFont="1" applyBorder="1" applyAlignment="1" applyProtection="1">
      <alignment horizontal="center" vertical="center"/>
    </xf>
    <xf numFmtId="0" fontId="1" fillId="0" borderId="12" xfId="0" applyFont="1" applyBorder="1" applyAlignment="1" applyProtection="1">
      <alignment horizontal="center" vertical="center" wrapText="1"/>
    </xf>
    <xf numFmtId="0" fontId="2" fillId="0" borderId="0" xfId="0" quotePrefix="1" applyFont="1" applyBorder="1" applyAlignment="1" applyProtection="1">
      <alignment horizontal="center" vertical="center" wrapText="1"/>
    </xf>
    <xf numFmtId="0" fontId="2" fillId="0" borderId="0" xfId="0" applyFont="1" applyAlignment="1" applyProtection="1">
      <alignment horizontal="left" vertical="center"/>
    </xf>
    <xf numFmtId="0" fontId="2" fillId="0" borderId="8" xfId="0" applyFont="1" applyBorder="1" applyAlignment="1" applyProtection="1">
      <alignment horizontal="left" vertical="center"/>
    </xf>
    <xf numFmtId="49" fontId="1" fillId="3" borderId="6" xfId="0" applyNumberFormat="1" applyFont="1" applyFill="1" applyBorder="1" applyAlignment="1" applyProtection="1">
      <alignment horizontal="center" vertical="center"/>
      <protection locked="0"/>
    </xf>
    <xf numFmtId="49" fontId="1" fillId="3" borderId="4"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left"/>
    </xf>
    <xf numFmtId="0" fontId="2" fillId="0" borderId="6" xfId="0" applyFont="1" applyBorder="1" applyProtection="1"/>
    <xf numFmtId="11" fontId="2" fillId="0" borderId="4" xfId="0" applyNumberFormat="1" applyFont="1" applyBorder="1" applyAlignment="1" applyProtection="1">
      <alignment horizontal="center" vertical="center"/>
    </xf>
    <xf numFmtId="11" fontId="1" fillId="3" borderId="4" xfId="0" applyNumberFormat="1" applyFont="1" applyFill="1" applyBorder="1" applyAlignment="1" applyProtection="1">
      <alignment horizontal="center" vertical="center"/>
      <protection locked="0"/>
    </xf>
    <xf numFmtId="0" fontId="9" fillId="0" borderId="0" xfId="0" applyFont="1" applyAlignment="1" applyProtection="1"/>
    <xf numFmtId="0" fontId="14" fillId="0" borderId="0" xfId="0" applyFont="1" applyProtection="1"/>
    <xf numFmtId="0" fontId="9" fillId="0" borderId="1" xfId="0" applyFont="1" applyBorder="1" applyAlignment="1" applyProtection="1"/>
    <xf numFmtId="0" fontId="14" fillId="0" borderId="2" xfId="0" applyFont="1" applyBorder="1" applyProtection="1"/>
    <xf numFmtId="0" fontId="25" fillId="0" borderId="0" xfId="0" applyFont="1" applyBorder="1" applyAlignment="1" applyProtection="1"/>
    <xf numFmtId="0" fontId="24" fillId="0" borderId="0" xfId="0" applyFont="1" applyBorder="1" applyProtection="1"/>
    <xf numFmtId="0" fontId="27" fillId="0" borderId="0" xfId="0" applyFont="1" applyBorder="1" applyProtection="1"/>
    <xf numFmtId="0" fontId="14" fillId="0" borderId="0" xfId="0" applyFont="1" applyBorder="1" applyProtection="1"/>
    <xf numFmtId="0" fontId="28" fillId="0" borderId="0" xfId="0" applyFont="1" applyBorder="1" applyAlignment="1" applyProtection="1">
      <alignment vertical="center" wrapText="1"/>
    </xf>
    <xf numFmtId="0" fontId="26" fillId="0" borderId="0" xfId="0" applyFont="1" applyBorder="1" applyProtection="1"/>
    <xf numFmtId="49" fontId="2" fillId="0" borderId="4" xfId="0" applyNumberFormat="1" applyFont="1" applyFill="1" applyBorder="1" applyAlignment="1" applyProtection="1">
      <alignment horizontal="center" vertical="center"/>
    </xf>
    <xf numFmtId="49" fontId="2" fillId="0" borderId="0" xfId="0" applyNumberFormat="1" applyFont="1"/>
    <xf numFmtId="0" fontId="2"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0" xfId="0" applyFont="1" applyBorder="1" applyAlignment="1" applyProtection="1">
      <alignment horizontal="center"/>
    </xf>
    <xf numFmtId="0" fontId="2" fillId="0" borderId="0" xfId="0" applyNumberFormat="1" applyFont="1" applyBorder="1" applyAlignment="1" applyProtection="1">
      <alignment horizontal="center"/>
    </xf>
    <xf numFmtId="0" fontId="9" fillId="0" borderId="0" xfId="0" applyFont="1" applyAlignment="1">
      <alignment horizontal="left" vertical="center"/>
    </xf>
    <xf numFmtId="0" fontId="2" fillId="0" borderId="0" xfId="0" applyFont="1" applyFill="1" applyAlignment="1" applyProtection="1">
      <alignment horizontal="left" vertical="center"/>
    </xf>
    <xf numFmtId="0" fontId="0" fillId="0" borderId="0" xfId="0"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xf>
    <xf numFmtId="0" fontId="2" fillId="0" borderId="0" xfId="0" applyNumberFormat="1" applyFont="1" applyFill="1" applyProtection="1"/>
    <xf numFmtId="49" fontId="2" fillId="0" borderId="0" xfId="0" applyNumberFormat="1"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Fill="1" applyProtection="1"/>
    <xf numFmtId="0" fontId="2" fillId="0" borderId="0" xfId="0" applyNumberFormat="1" applyFont="1" applyFill="1" applyAlignment="1" applyProtection="1">
      <alignment horizontal="center" vertical="center"/>
    </xf>
    <xf numFmtId="0" fontId="2" fillId="0" borderId="0" xfId="0" applyFont="1" applyFill="1" applyProtection="1">
      <protection locked="0"/>
    </xf>
    <xf numFmtId="0" fontId="2" fillId="0" borderId="0" xfId="0" applyNumberFormat="1" applyFont="1" applyFill="1" applyBorder="1" applyProtection="1"/>
    <xf numFmtId="49" fontId="2" fillId="0" borderId="0" xfId="0" applyNumberFormat="1" applyFont="1" applyFill="1" applyAlignment="1" applyProtection="1">
      <alignment horizontal="right" vertical="center"/>
      <protection locked="0"/>
    </xf>
    <xf numFmtId="0" fontId="2" fillId="0" borderId="0" xfId="1" applyNumberFormat="1" applyFont="1" applyFill="1" applyBorder="1" applyAlignment="1" applyProtection="1">
      <alignment horizontal="center" vertical="center"/>
    </xf>
    <xf numFmtId="49" fontId="2" fillId="0" borderId="0" xfId="0" applyNumberFormat="1" applyFont="1" applyFill="1" applyAlignment="1" applyProtection="1">
      <alignment horizontal="left" vertical="center"/>
    </xf>
    <xf numFmtId="0" fontId="9" fillId="0" borderId="0" xfId="0" applyFont="1" applyAlignment="1" applyProtection="1">
      <alignment horizontal="left"/>
    </xf>
    <xf numFmtId="0" fontId="2" fillId="0" borderId="2" xfId="0" applyFont="1" applyBorder="1"/>
    <xf numFmtId="0" fontId="1" fillId="0" borderId="1" xfId="0" applyFont="1" applyBorder="1" applyAlignment="1" applyProtection="1">
      <alignment horizontal="left" vertical="center"/>
    </xf>
    <xf numFmtId="0" fontId="2" fillId="0" borderId="1" xfId="0" applyFont="1" applyBorder="1" applyAlignment="1" applyProtection="1"/>
    <xf numFmtId="0" fontId="2" fillId="0" borderId="1" xfId="0" applyFont="1" applyBorder="1"/>
    <xf numFmtId="0" fontId="1" fillId="0" borderId="0" xfId="0" applyFont="1"/>
    <xf numFmtId="0" fontId="2" fillId="0" borderId="9" xfId="0" applyFont="1" applyBorder="1" applyProtection="1"/>
    <xf numFmtId="0" fontId="1" fillId="0" borderId="0" xfId="0" applyFont="1" applyFill="1" applyBorder="1" applyAlignment="1" applyProtection="1">
      <alignment horizontal="left"/>
    </xf>
    <xf numFmtId="0" fontId="1" fillId="0" borderId="0" xfId="0" applyFont="1" applyFill="1" applyBorder="1" applyAlignment="1" applyProtection="1">
      <alignment horizontal="left" vertical="center"/>
    </xf>
    <xf numFmtId="0" fontId="2" fillId="0" borderId="0" xfId="0" applyFont="1" applyFill="1" applyBorder="1" applyProtection="1"/>
    <xf numFmtId="0" fontId="1" fillId="0" borderId="0" xfId="0" applyFont="1" applyFill="1" applyBorder="1" applyAlignment="1" applyProtection="1">
      <alignment horizontal="center"/>
    </xf>
    <xf numFmtId="0" fontId="1" fillId="0" borderId="0" xfId="0" applyFont="1" applyFill="1" applyBorder="1" applyAlignment="1" applyProtection="1"/>
    <xf numFmtId="0" fontId="2" fillId="0" borderId="0" xfId="0" applyNumberFormat="1" applyFont="1" applyFill="1" applyBorder="1" applyAlignment="1" applyProtection="1">
      <alignment horizontal="center" vertical="center"/>
    </xf>
    <xf numFmtId="49" fontId="2" fillId="0" borderId="0" xfId="0" applyNumberFormat="1" applyFont="1" applyFill="1" applyBorder="1"/>
    <xf numFmtId="0" fontId="38" fillId="0" borderId="14" xfId="0" applyFont="1" applyBorder="1" applyAlignment="1" applyProtection="1"/>
    <xf numFmtId="0" fontId="1" fillId="0" borderId="0" xfId="0" applyFont="1" applyFill="1" applyBorder="1" applyProtection="1"/>
    <xf numFmtId="0" fontId="1" fillId="0" borderId="2" xfId="0" applyFont="1" applyBorder="1"/>
    <xf numFmtId="0" fontId="2" fillId="0" borderId="0" xfId="0" applyFont="1" applyFill="1" applyBorder="1"/>
    <xf numFmtId="0" fontId="39" fillId="0" borderId="0" xfId="0" applyFont="1" applyBorder="1" applyProtection="1"/>
    <xf numFmtId="0" fontId="39" fillId="0" borderId="0" xfId="0" applyFont="1" applyProtection="1"/>
    <xf numFmtId="0" fontId="38" fillId="0" borderId="6" xfId="0" applyFont="1" applyBorder="1" applyAlignment="1" applyProtection="1"/>
    <xf numFmtId="0" fontId="38" fillId="0" borderId="0" xfId="0" applyFont="1" applyBorder="1" applyAlignment="1" applyProtection="1"/>
    <xf numFmtId="0" fontId="38" fillId="0" borderId="14" xfId="0" applyFont="1" applyBorder="1" applyAlignment="1" applyProtection="1">
      <alignment horizontal="center"/>
    </xf>
    <xf numFmtId="49" fontId="38" fillId="0" borderId="14" xfId="0" applyNumberFormat="1" applyFont="1" applyBorder="1" applyAlignment="1" applyProtection="1">
      <alignment horizontal="center"/>
    </xf>
    <xf numFmtId="0" fontId="2" fillId="0" borderId="0" xfId="0" applyFont="1" applyAlignment="1" applyProtection="1">
      <alignment horizontal="left" vertical="center"/>
    </xf>
    <xf numFmtId="0" fontId="2" fillId="0" borderId="0" xfId="0" applyFont="1" applyBorder="1" applyAlignment="1">
      <alignment horizontal="left"/>
    </xf>
    <xf numFmtId="0" fontId="2" fillId="0" borderId="3" xfId="0" applyFont="1" applyBorder="1" applyAlignment="1" applyProtection="1">
      <alignment horizontal="left" vertical="center"/>
    </xf>
    <xf numFmtId="0" fontId="2" fillId="0" borderId="3" xfId="0" applyFont="1" applyBorder="1" applyProtection="1"/>
    <xf numFmtId="0" fontId="2" fillId="0" borderId="14" xfId="0" applyFont="1" applyBorder="1" applyProtection="1"/>
    <xf numFmtId="0" fontId="2" fillId="0" borderId="8" xfId="0" applyFont="1" applyBorder="1" applyProtection="1"/>
    <xf numFmtId="0" fontId="2" fillId="0" borderId="11" xfId="0" applyFont="1" applyBorder="1" applyProtection="1"/>
    <xf numFmtId="0" fontId="2" fillId="0" borderId="4" xfId="0" applyFont="1" applyBorder="1"/>
    <xf numFmtId="49" fontId="38" fillId="0" borderId="0" xfId="0" applyNumberFormat="1" applyFont="1" applyBorder="1" applyAlignment="1" applyProtection="1">
      <alignment horizontal="center"/>
    </xf>
    <xf numFmtId="49" fontId="2" fillId="0" borderId="0" xfId="0" applyNumberFormat="1" applyFont="1" applyAlignment="1" applyProtection="1">
      <alignment horizontal="left" vertical="center"/>
    </xf>
    <xf numFmtId="0" fontId="2" fillId="0" borderId="0" xfId="0" applyFont="1" applyAlignment="1" applyProtection="1">
      <alignment horizontal="right"/>
    </xf>
    <xf numFmtId="0" fontId="2" fillId="0" borderId="1" xfId="0" applyFont="1" applyBorder="1" applyAlignment="1">
      <alignment horizontal="right"/>
    </xf>
    <xf numFmtId="0" fontId="2" fillId="0" borderId="1" xfId="0" applyFont="1" applyBorder="1" applyAlignment="1">
      <alignment horizontal="left" vertical="center"/>
    </xf>
    <xf numFmtId="0" fontId="33" fillId="0" borderId="0" xfId="0" applyFont="1" applyAlignment="1" applyProtection="1">
      <alignment horizontal="left" vertical="center" wrapText="1"/>
    </xf>
    <xf numFmtId="0" fontId="28" fillId="0" borderId="0" xfId="0" applyFont="1" applyAlignment="1" applyProtection="1">
      <alignment horizontal="left" vertical="center" wrapText="1"/>
    </xf>
    <xf numFmtId="49" fontId="2" fillId="0" borderId="0" xfId="0" applyNumberFormat="1" applyFont="1" applyFill="1" applyAlignment="1" applyProtection="1">
      <alignment horizontal="left" vertical="center"/>
    </xf>
    <xf numFmtId="0" fontId="1" fillId="0" borderId="1" xfId="0" applyFont="1" applyBorder="1" applyAlignment="1" applyProtection="1">
      <alignment horizontal="center" vertical="center"/>
    </xf>
    <xf numFmtId="0" fontId="1" fillId="0" borderId="10" xfId="0" applyFont="1" applyBorder="1" applyAlignment="1" applyProtection="1">
      <alignment horizontal="center" vertical="center"/>
    </xf>
    <xf numFmtId="0" fontId="21" fillId="0" borderId="9"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11" fontId="2" fillId="0" borderId="0" xfId="0" applyNumberFormat="1" applyFont="1" applyAlignment="1" applyProtection="1">
      <alignment horizontal="left"/>
    </xf>
    <xf numFmtId="0" fontId="2" fillId="0" borderId="0" xfId="0" applyFont="1" applyAlignment="1" applyProtection="1">
      <alignment horizontal="left" vertical="center"/>
    </xf>
    <xf numFmtId="0" fontId="2" fillId="0" borderId="13" xfId="0" applyFont="1" applyBorder="1" applyAlignment="1" applyProtection="1">
      <alignment horizontal="left" vertical="center"/>
    </xf>
    <xf numFmtId="49" fontId="2" fillId="3" borderId="4" xfId="0" applyNumberFormat="1" applyFont="1" applyFill="1" applyBorder="1" applyAlignment="1" applyProtection="1">
      <alignment horizontal="left" vertical="center"/>
      <protection locked="0"/>
    </xf>
    <xf numFmtId="0" fontId="2" fillId="0" borderId="8" xfId="0" applyFont="1" applyBorder="1" applyAlignment="1" applyProtection="1">
      <alignment horizontal="left" vertical="center"/>
    </xf>
    <xf numFmtId="0" fontId="0" fillId="3" borderId="4" xfId="0" applyFill="1" applyBorder="1" applyAlignment="1" applyProtection="1">
      <alignment horizontal="left" vertical="center"/>
    </xf>
    <xf numFmtId="0" fontId="2" fillId="0" borderId="0" xfId="0" applyFont="1" applyBorder="1" applyAlignment="1">
      <alignment horizontal="left"/>
    </xf>
    <xf numFmtId="0" fontId="25" fillId="0" borderId="2" xfId="0" applyFont="1" applyBorder="1" applyAlignment="1" applyProtection="1">
      <alignment horizontal="center"/>
      <protection locked="0"/>
    </xf>
    <xf numFmtId="0" fontId="28" fillId="0" borderId="0" xfId="0" applyFont="1" applyAlignment="1" applyProtection="1">
      <alignment horizontal="left" vertical="center" wrapText="1"/>
      <protection locked="0"/>
    </xf>
    <xf numFmtId="0" fontId="2" fillId="0" borderId="0" xfId="0" applyFont="1" applyBorder="1" applyAlignment="1">
      <alignment horizontal="right"/>
    </xf>
    <xf numFmtId="0" fontId="2" fillId="0" borderId="0" xfId="0" applyFont="1" applyBorder="1" applyAlignment="1">
      <alignment horizontal="left" vertical="center"/>
    </xf>
    <xf numFmtId="49" fontId="1"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horizontal="right"/>
    </xf>
    <xf numFmtId="0" fontId="2" fillId="0" borderId="0" xfId="0" applyFont="1" applyFill="1" applyBorder="1" applyAlignment="1">
      <alignment horizontal="left" vertical="center"/>
    </xf>
    <xf numFmtId="0" fontId="2" fillId="0" borderId="1" xfId="0" applyFont="1" applyFill="1" applyBorder="1" applyProtection="1"/>
    <xf numFmtId="0" fontId="2" fillId="0" borderId="1" xfId="0" applyFont="1" applyFill="1" applyBorder="1"/>
    <xf numFmtId="0" fontId="2" fillId="0" borderId="15" xfId="0" applyFont="1" applyBorder="1" applyAlignment="1" applyProtection="1">
      <alignment horizontal="center" vertical="center"/>
    </xf>
    <xf numFmtId="0" fontId="1" fillId="0" borderId="16" xfId="0" applyFont="1" applyFill="1" applyBorder="1" applyAlignment="1" applyProtection="1">
      <alignment horizontal="center" vertical="center"/>
    </xf>
    <xf numFmtId="0" fontId="1" fillId="0" borderId="16" xfId="0" applyFont="1" applyFill="1" applyBorder="1" applyAlignment="1" applyProtection="1">
      <alignment horizontal="center" vertical="center" wrapText="1"/>
    </xf>
    <xf numFmtId="49" fontId="2" fillId="0" borderId="17" xfId="0" applyNumberFormat="1" applyFont="1" applyBorder="1" applyAlignment="1" applyProtection="1">
      <alignment horizontal="center" vertical="center"/>
    </xf>
    <xf numFmtId="49" fontId="35" fillId="0" borderId="17" xfId="0" quotePrefix="1" applyNumberFormat="1" applyFont="1" applyBorder="1" applyAlignment="1" applyProtection="1">
      <alignment horizontal="center" vertical="center"/>
    </xf>
    <xf numFmtId="0" fontId="35" fillId="0" borderId="17" xfId="0" quotePrefix="1" applyFont="1" applyBorder="1" applyAlignment="1" applyProtection="1">
      <alignment horizontal="center" vertical="center"/>
    </xf>
    <xf numFmtId="49" fontId="2" fillId="0" borderId="18" xfId="0" quotePrefix="1" applyNumberFormat="1" applyFont="1" applyBorder="1" applyAlignment="1" applyProtection="1">
      <alignment horizontal="center" vertical="center" wrapText="1"/>
    </xf>
    <xf numFmtId="49" fontId="2" fillId="0" borderId="18" xfId="0" applyNumberFormat="1"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8" xfId="0" quotePrefix="1" applyNumberFormat="1" applyFont="1" applyBorder="1" applyAlignment="1" applyProtection="1">
      <alignment horizontal="center" vertical="center"/>
    </xf>
    <xf numFmtId="0" fontId="35" fillId="0" borderId="17" xfId="0" quotePrefix="1" applyNumberFormat="1" applyFont="1" applyBorder="1" applyAlignment="1" applyProtection="1">
      <alignment horizontal="center" vertical="center"/>
    </xf>
    <xf numFmtId="0" fontId="2" fillId="0" borderId="17" xfId="0" applyFont="1" applyBorder="1" applyAlignment="1" applyProtection="1">
      <alignment horizontal="center" vertical="center"/>
    </xf>
    <xf numFmtId="0" fontId="1" fillId="0" borderId="19" xfId="0" applyFont="1" applyFill="1" applyBorder="1" applyAlignment="1" applyProtection="1">
      <alignment horizontal="center" vertical="center" wrapText="1"/>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center" vertical="center"/>
    </xf>
    <xf numFmtId="0" fontId="38" fillId="0" borderId="0" xfId="0" applyFont="1" applyBorder="1" applyAlignment="1" applyProtection="1">
      <alignment horizontal="center"/>
    </xf>
    <xf numFmtId="0" fontId="25" fillId="0" borderId="1" xfId="0" applyFont="1" applyBorder="1" applyProtection="1"/>
    <xf numFmtId="0" fontId="27" fillId="0" borderId="1" xfId="0" applyFont="1" applyBorder="1" applyProtection="1"/>
    <xf numFmtId="0" fontId="1" fillId="0" borderId="1" xfId="0" applyFont="1" applyBorder="1" applyProtection="1"/>
    <xf numFmtId="0" fontId="1" fillId="0" borderId="0" xfId="0" applyFont="1" applyFill="1" applyBorder="1"/>
    <xf numFmtId="0" fontId="1" fillId="0" borderId="1" xfId="0" applyFont="1" applyFill="1" applyBorder="1"/>
    <xf numFmtId="0" fontId="1" fillId="0" borderId="9" xfId="0" applyFont="1" applyFill="1" applyBorder="1" applyProtection="1"/>
    <xf numFmtId="0" fontId="1" fillId="0" borderId="2" xfId="0" applyFont="1" applyFill="1" applyBorder="1"/>
    <xf numFmtId="0" fontId="14" fillId="0" borderId="2" xfId="0" applyFont="1" applyBorder="1"/>
    <xf numFmtId="0" fontId="0" fillId="0" borderId="0" xfId="0" applyBorder="1"/>
    <xf numFmtId="0" fontId="44"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46" fillId="0" borderId="0" xfId="0" applyFont="1" applyBorder="1" applyAlignment="1">
      <alignment horizontal="center" vertical="center"/>
    </xf>
    <xf numFmtId="0" fontId="46" fillId="0" borderId="0" xfId="0" quotePrefix="1" applyFont="1" applyBorder="1" applyAlignment="1">
      <alignment horizontal="center" vertical="center"/>
    </xf>
    <xf numFmtId="0" fontId="44" fillId="0" borderId="13" xfId="0" applyFont="1" applyBorder="1" applyAlignment="1" applyProtection="1">
      <alignment horizontal="center" vertical="center"/>
    </xf>
    <xf numFmtId="0" fontId="44" fillId="0" borderId="9" xfId="0" applyFont="1" applyBorder="1" applyAlignment="1" applyProtection="1">
      <alignment horizontal="center" vertical="center" wrapText="1"/>
    </xf>
    <xf numFmtId="0" fontId="44" fillId="0" borderId="1" xfId="0" applyFont="1" applyBorder="1" applyAlignment="1" applyProtection="1">
      <alignment horizontal="center" vertical="center" wrapText="1"/>
    </xf>
    <xf numFmtId="0" fontId="44" fillId="0" borderId="10" xfId="0" applyFont="1" applyBorder="1" applyAlignment="1" applyProtection="1">
      <alignment horizontal="center" vertical="center"/>
    </xf>
    <xf numFmtId="0" fontId="44" fillId="0" borderId="9" xfId="0" applyFont="1" applyBorder="1" applyAlignment="1" applyProtection="1">
      <alignment horizontal="center" vertical="center" wrapText="1"/>
    </xf>
    <xf numFmtId="0" fontId="46" fillId="0" borderId="15" xfId="0" applyFont="1" applyBorder="1" applyAlignment="1" applyProtection="1">
      <alignment horizontal="right" vertical="center"/>
    </xf>
    <xf numFmtId="0" fontId="46" fillId="0" borderId="23" xfId="0" quotePrefix="1" applyFont="1" applyBorder="1" applyAlignment="1" applyProtection="1">
      <alignment horizontal="center" vertical="center"/>
    </xf>
    <xf numFmtId="0" fontId="46" fillId="0" borderId="23" xfId="0" applyFont="1" applyBorder="1" applyAlignment="1" applyProtection="1">
      <alignment horizontal="center" vertical="center"/>
    </xf>
    <xf numFmtId="0" fontId="46" fillId="0" borderId="0" xfId="0" applyFont="1" applyBorder="1" applyAlignment="1" applyProtection="1">
      <alignment horizontal="right" vertical="center"/>
    </xf>
    <xf numFmtId="0" fontId="46" fillId="0" borderId="4" xfId="0" applyFont="1" applyBorder="1" applyAlignment="1" applyProtection="1">
      <alignment horizontal="center" vertical="center"/>
    </xf>
    <xf numFmtId="0" fontId="46" fillId="0" borderId="4" xfId="0" quotePrefix="1" applyFont="1" applyBorder="1" applyAlignment="1" applyProtection="1">
      <alignment horizontal="center" vertical="center"/>
    </xf>
    <xf numFmtId="0" fontId="2" fillId="0" borderId="22" xfId="0" applyFont="1" applyBorder="1" applyProtection="1"/>
    <xf numFmtId="49" fontId="2" fillId="3" borderId="6" xfId="0" applyNumberFormat="1" applyFont="1" applyFill="1" applyBorder="1" applyAlignment="1" applyProtection="1">
      <alignment horizontal="center" vertical="center"/>
      <protection locked="0"/>
    </xf>
    <xf numFmtId="49" fontId="2" fillId="3" borderId="4" xfId="0" applyNumberFormat="1" applyFont="1" applyFill="1" applyBorder="1" applyAlignment="1" applyProtection="1">
      <alignment horizontal="center" vertical="center"/>
      <protection locked="0"/>
    </xf>
    <xf numFmtId="49" fontId="2" fillId="3" borderId="9"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0" fontId="9" fillId="0" borderId="0" xfId="0" applyFont="1" applyFill="1" applyBorder="1"/>
    <xf numFmtId="0" fontId="9" fillId="0" borderId="0" xfId="0" applyFont="1" applyFill="1" applyBorder="1" applyProtection="1"/>
    <xf numFmtId="0" fontId="2" fillId="0" borderId="0" xfId="0" applyFont="1" applyAlignment="1" applyProtection="1">
      <alignment vertical="center"/>
    </xf>
    <xf numFmtId="0" fontId="9" fillId="0" borderId="0" xfId="0" applyFont="1" applyFill="1" applyBorder="1" applyAlignment="1" applyProtection="1"/>
    <xf numFmtId="0" fontId="9" fillId="0" borderId="0" xfId="0" applyFont="1" applyFill="1" applyBorder="1" applyAlignment="1"/>
    <xf numFmtId="11" fontId="1" fillId="0" borderId="0" xfId="0" applyNumberFormat="1" applyFont="1" applyFill="1" applyBorder="1" applyAlignment="1" applyProtection="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0066CC"/>
      <color rgb="FF767171"/>
      <color rgb="FF76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42158572624698"/>
          <c:y val="5.3684533039414936E-2"/>
          <c:w val="0.83064743350864356"/>
          <c:h val="0.77192247921017254"/>
        </c:manualLayout>
      </c:layout>
      <c:scatterChart>
        <c:scatterStyle val="smoothMarker"/>
        <c:varyColors val="0"/>
        <c:ser>
          <c:idx val="2"/>
          <c:order val="0"/>
          <c:tx>
            <c:v>Reactive Near-Field Boundary of Electrically Small Antenna (D&lt;λ/2)</c:v>
          </c:tx>
          <c:spPr>
            <a:ln w="19050" cap="rnd">
              <a:solidFill>
                <a:schemeClr val="accent2"/>
              </a:solidFill>
              <a:round/>
            </a:ln>
            <a:effectLst/>
          </c:spPr>
          <c:marker>
            <c:symbol val="none"/>
          </c:marker>
          <c:xVal>
            <c:numRef>
              <c:f>'NearField|FarField'!$A$66:$A$73</c:f>
              <c:numCache>
                <c:formatCode>0.00E+00</c:formatCode>
                <c:ptCount val="8"/>
                <c:pt idx="0">
                  <c:v>10000</c:v>
                </c:pt>
                <c:pt idx="1">
                  <c:v>100000</c:v>
                </c:pt>
                <c:pt idx="2">
                  <c:v>1000000</c:v>
                </c:pt>
                <c:pt idx="3">
                  <c:v>10000000</c:v>
                </c:pt>
                <c:pt idx="4">
                  <c:v>100000000</c:v>
                </c:pt>
                <c:pt idx="5">
                  <c:v>1000000000</c:v>
                </c:pt>
                <c:pt idx="6">
                  <c:v>10000000000</c:v>
                </c:pt>
                <c:pt idx="7">
                  <c:v>100000000000</c:v>
                </c:pt>
              </c:numCache>
            </c:numRef>
          </c:xVal>
          <c:yVal>
            <c:numRef>
              <c:f>'NearField|FarField'!$D$66:$D$73</c:f>
              <c:numCache>
                <c:formatCode>General</c:formatCode>
                <c:ptCount val="8"/>
                <c:pt idx="0">
                  <c:v>4771.4651938950219</c:v>
                </c:pt>
                <c:pt idx="1">
                  <c:v>477.14651938950226</c:v>
                </c:pt>
                <c:pt idx="2">
                  <c:v>47.714651938950226</c:v>
                </c:pt>
                <c:pt idx="3">
                  <c:v>4.7714651938950228</c:v>
                </c:pt>
                <c:pt idx="4">
                  <c:v>0.47714651938950225</c:v>
                </c:pt>
                <c:pt idx="5">
                  <c:v>4.7714651938950227E-2</c:v>
                </c:pt>
                <c:pt idx="6">
                  <c:v>4.7714651938950223E-3</c:v>
                </c:pt>
                <c:pt idx="7">
                  <c:v>4.7714651938950218E-4</c:v>
                </c:pt>
              </c:numCache>
            </c:numRef>
          </c:yVal>
          <c:smooth val="1"/>
          <c:extLst>
            <c:ext xmlns:c16="http://schemas.microsoft.com/office/drawing/2014/chart" uri="{C3380CC4-5D6E-409C-BE32-E72D297353CC}">
              <c16:uniqueId val="{00000000-6EAF-4CD1-8A9D-6047AA0E0472}"/>
            </c:ext>
          </c:extLst>
        </c:ser>
        <c:ser>
          <c:idx val="1"/>
          <c:order val="1"/>
          <c:tx>
            <c:v>Reactive Near-Field Boundary of Electrically Large Antenna (D&gt;λ/2)</c:v>
          </c:tx>
          <c:spPr>
            <a:ln w="19050" cap="rnd">
              <a:solidFill>
                <a:srgbClr val="767171"/>
              </a:solidFill>
              <a:round/>
            </a:ln>
            <a:effectLst/>
          </c:spPr>
          <c:marker>
            <c:symbol val="none"/>
          </c:marker>
          <c:xVal>
            <c:numRef>
              <c:f>'NearField|FarField'!$A$66:$A$73</c:f>
              <c:numCache>
                <c:formatCode>0.00E+00</c:formatCode>
                <c:ptCount val="8"/>
                <c:pt idx="0">
                  <c:v>10000</c:v>
                </c:pt>
                <c:pt idx="1">
                  <c:v>100000</c:v>
                </c:pt>
                <c:pt idx="2">
                  <c:v>1000000</c:v>
                </c:pt>
                <c:pt idx="3">
                  <c:v>10000000</c:v>
                </c:pt>
                <c:pt idx="4">
                  <c:v>100000000</c:v>
                </c:pt>
                <c:pt idx="5">
                  <c:v>1000000000</c:v>
                </c:pt>
                <c:pt idx="6">
                  <c:v>10000000000</c:v>
                </c:pt>
                <c:pt idx="7">
                  <c:v>100000000000</c:v>
                </c:pt>
              </c:numCache>
            </c:numRef>
          </c:xVal>
          <c:yVal>
            <c:numRef>
              <c:f>'NearField|FarField'!$E$66:$E$73</c:f>
              <c:numCache>
                <c:formatCode>@</c:formatCode>
                <c:ptCount val="8"/>
                <c:pt idx="0">
                  <c:v>3.580765456458918E-3</c:v>
                </c:pt>
                <c:pt idx="1">
                  <c:v>1.1323374609262665E-2</c:v>
                </c:pt>
                <c:pt idx="2">
                  <c:v>3.5807654564589182E-2</c:v>
                </c:pt>
                <c:pt idx="3">
                  <c:v>0.11323374609262668</c:v>
                </c:pt>
                <c:pt idx="4">
                  <c:v>0.35807654564589186</c:v>
                </c:pt>
                <c:pt idx="5">
                  <c:v>1.1323374609262666</c:v>
                </c:pt>
                <c:pt idx="6">
                  <c:v>3.5807654564589182</c:v>
                </c:pt>
                <c:pt idx="7" formatCode="General">
                  <c:v>11.323374609262666</c:v>
                </c:pt>
              </c:numCache>
            </c:numRef>
          </c:yVal>
          <c:smooth val="1"/>
          <c:extLst>
            <c:ext xmlns:c16="http://schemas.microsoft.com/office/drawing/2014/chart" uri="{C3380CC4-5D6E-409C-BE32-E72D297353CC}">
              <c16:uniqueId val="{00000001-97BC-4168-9694-8B17EB9EFCE7}"/>
            </c:ext>
          </c:extLst>
        </c:ser>
        <c:ser>
          <c:idx val="0"/>
          <c:order val="2"/>
          <c:tx>
            <c:v>Radiative Near-Field Boundary of Electrically Large Antenna (D&gt;λ/2)</c:v>
          </c:tx>
          <c:spPr>
            <a:ln w="19050" cap="rnd">
              <a:solidFill>
                <a:srgbClr val="0066CC"/>
              </a:solidFill>
              <a:round/>
            </a:ln>
            <a:effectLst/>
          </c:spPr>
          <c:marker>
            <c:symbol val="none"/>
          </c:marker>
          <c:xVal>
            <c:numRef>
              <c:f>'NearField|FarField'!$A$66:$A$73</c:f>
              <c:numCache>
                <c:formatCode>0.00E+00</c:formatCode>
                <c:ptCount val="8"/>
                <c:pt idx="0">
                  <c:v>10000</c:v>
                </c:pt>
                <c:pt idx="1">
                  <c:v>100000</c:v>
                </c:pt>
                <c:pt idx="2">
                  <c:v>1000000</c:v>
                </c:pt>
                <c:pt idx="3">
                  <c:v>10000000</c:v>
                </c:pt>
                <c:pt idx="4">
                  <c:v>100000000</c:v>
                </c:pt>
                <c:pt idx="5">
                  <c:v>1000000000</c:v>
                </c:pt>
                <c:pt idx="6">
                  <c:v>10000000000</c:v>
                </c:pt>
                <c:pt idx="7">
                  <c:v>100000000000</c:v>
                </c:pt>
              </c:numCache>
            </c:numRef>
          </c:xVal>
          <c:yVal>
            <c:numRef>
              <c:f>'NearField|FarField'!$F$66:$F$73</c:f>
              <c:numCache>
                <c:formatCode>@</c:formatCode>
                <c:ptCount val="8"/>
                <c:pt idx="0">
                  <c:v>6.6711140760507002E-5</c:v>
                </c:pt>
                <c:pt idx="1">
                  <c:v>6.6711140760506999E-4</c:v>
                </c:pt>
                <c:pt idx="2">
                  <c:v>6.6711140760507001E-3</c:v>
                </c:pt>
                <c:pt idx="3">
                  <c:v>6.6711140760507007E-2</c:v>
                </c:pt>
                <c:pt idx="4">
                  <c:v>0.66711140760507004</c:v>
                </c:pt>
                <c:pt idx="5">
                  <c:v>6.6711140760507002</c:v>
                </c:pt>
                <c:pt idx="6">
                  <c:v>66.711140760507007</c:v>
                </c:pt>
                <c:pt idx="7" formatCode="General">
                  <c:v>667.1114076050701</c:v>
                </c:pt>
              </c:numCache>
            </c:numRef>
          </c:yVal>
          <c:smooth val="1"/>
          <c:extLst>
            <c:ext xmlns:c16="http://schemas.microsoft.com/office/drawing/2014/chart" uri="{C3380CC4-5D6E-409C-BE32-E72D297353CC}">
              <c16:uniqueId val="{00000000-97BC-4168-9694-8B17EB9EFCE7}"/>
            </c:ext>
          </c:extLst>
        </c:ser>
        <c:ser>
          <c:idx val="3"/>
          <c:order val="3"/>
          <c:tx>
            <c:v>Frequency for which D=λ/2</c:v>
          </c:tx>
          <c:spPr>
            <a:ln w="19050" cap="rnd">
              <a:solidFill>
                <a:schemeClr val="tx1"/>
              </a:solidFill>
              <a:round/>
            </a:ln>
            <a:effectLst/>
          </c:spPr>
          <c:marker>
            <c:symbol val="none"/>
          </c:marker>
          <c:xVal>
            <c:numRef>
              <c:f>('NearField|FarField'!$C$27,'NearField|FarField'!$C$27)</c:f>
              <c:numCache>
                <c:formatCode>0.00E+00</c:formatCode>
                <c:ptCount val="2"/>
                <c:pt idx="0">
                  <c:v>149900000</c:v>
                </c:pt>
                <c:pt idx="1">
                  <c:v>149900000</c:v>
                </c:pt>
              </c:numCache>
            </c:numRef>
          </c:xVal>
          <c:yVal>
            <c:numRef>
              <c:f>('NearField|FarField'!$D$66,'NearField|FarField'!$F$66)</c:f>
              <c:numCache>
                <c:formatCode>@</c:formatCode>
                <c:ptCount val="2"/>
                <c:pt idx="0" formatCode="General">
                  <c:v>4771.4651938950219</c:v>
                </c:pt>
                <c:pt idx="1">
                  <c:v>6.6711140760507002E-5</c:v>
                </c:pt>
              </c:numCache>
            </c:numRef>
          </c:yVal>
          <c:smooth val="1"/>
          <c:extLst>
            <c:ext xmlns:c16="http://schemas.microsoft.com/office/drawing/2014/chart" uri="{C3380CC4-5D6E-409C-BE32-E72D297353CC}">
              <c16:uniqueId val="{00000000-0AE2-4A90-AF5E-CB3472296792}"/>
            </c:ext>
          </c:extLst>
        </c:ser>
        <c:dLbls>
          <c:showLegendKey val="0"/>
          <c:showVal val="0"/>
          <c:showCatName val="0"/>
          <c:showSerName val="0"/>
          <c:showPercent val="0"/>
          <c:showBubbleSize val="0"/>
        </c:dLbls>
        <c:axId val="995667904"/>
        <c:axId val="995665280"/>
      </c:scatterChart>
      <c:valAx>
        <c:axId val="995667904"/>
        <c:scaling>
          <c:logBase val="10"/>
          <c:orientation val="minMax"/>
          <c:max val="100000000000"/>
          <c:min val="100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ysClr val="windowText" lastClr="000000"/>
                    </a:solidFill>
                    <a:latin typeface="Helvetica-Normal" pitchFamily="2" charset="0"/>
                    <a:ea typeface="+mn-ea"/>
                    <a:cs typeface="+mn-cs"/>
                  </a:defRPr>
                </a:pPr>
                <a:r>
                  <a:rPr lang="en-US">
                    <a:solidFill>
                      <a:sysClr val="windowText" lastClr="000000"/>
                    </a:solidFill>
                    <a:latin typeface="Helvetica-Normal" pitchFamily="2" charset="0"/>
                  </a:rPr>
                  <a:t>Frequency</a:t>
                </a:r>
                <a:r>
                  <a:rPr lang="en-US" baseline="0">
                    <a:solidFill>
                      <a:sysClr val="windowText" lastClr="000000"/>
                    </a:solidFill>
                    <a:latin typeface="Helvetica-Normal" pitchFamily="2" charset="0"/>
                  </a:rPr>
                  <a:t> [Hz]</a:t>
                </a:r>
              </a:p>
            </c:rich>
          </c:tx>
          <c:layout>
            <c:manualLayout>
              <c:xMode val="edge"/>
              <c:yMode val="edge"/>
              <c:x val="0.49260613529827785"/>
              <c:y val="0.84235841687491286"/>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Helvetica-Normal" pitchFamily="2" charset="0"/>
                  <a:ea typeface="+mn-ea"/>
                  <a:cs typeface="+mn-cs"/>
                </a:defRPr>
              </a:pPr>
              <a:endParaRPr lang="en-US"/>
            </a:p>
          </c:txPr>
        </c:title>
        <c:numFmt formatCode="0.00E+00" sourceLinked="0"/>
        <c:majorTickMark val="out"/>
        <c:minorTickMark val="none"/>
        <c:tickLblPos val="nextTo"/>
        <c:spPr>
          <a:noFill/>
          <a:ln w="9525" cap="flat" cmpd="sng" algn="ctr">
            <a:solidFill>
              <a:srgbClr val="767D3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Helvetica-Normal" pitchFamily="2" charset="0"/>
                <a:ea typeface="+mn-ea"/>
                <a:cs typeface="+mn-cs"/>
              </a:defRPr>
            </a:pPr>
            <a:endParaRPr lang="en-US"/>
          </a:p>
        </c:txPr>
        <c:crossAx val="995665280"/>
        <c:crosses val="autoZero"/>
        <c:crossBetween val="midCat"/>
      </c:valAx>
      <c:valAx>
        <c:axId val="995665280"/>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Helvetica-Normal" pitchFamily="2" charset="0"/>
                    <a:ea typeface="+mn-ea"/>
                    <a:cs typeface="+mn-cs"/>
                  </a:defRPr>
                </a:pPr>
                <a:r>
                  <a:rPr lang="en-US">
                    <a:solidFill>
                      <a:sysClr val="windowText" lastClr="000000"/>
                    </a:solidFill>
                    <a:latin typeface="Helvetica-Normal" pitchFamily="2" charset="0"/>
                  </a:rPr>
                  <a:t>Distance </a:t>
                </a:r>
                <a:r>
                  <a:rPr lang="en-US" i="1">
                    <a:solidFill>
                      <a:sysClr val="windowText" lastClr="000000"/>
                    </a:solidFill>
                    <a:latin typeface="Helvetica-Normal" pitchFamily="2" charset="0"/>
                  </a:rPr>
                  <a:t>d</a:t>
                </a:r>
                <a:r>
                  <a:rPr lang="en-US">
                    <a:solidFill>
                      <a:sysClr val="windowText" lastClr="000000"/>
                    </a:solidFill>
                    <a:latin typeface="Helvetica-Normal" pitchFamily="2" charset="0"/>
                  </a:rPr>
                  <a:t> from transmitting antenna </a:t>
                </a:r>
                <a:r>
                  <a:rPr lang="en-US" baseline="0">
                    <a:solidFill>
                      <a:sysClr val="windowText" lastClr="000000"/>
                    </a:solidFill>
                    <a:latin typeface="Helvetica-Normal" pitchFamily="2" charset="0"/>
                  </a:rPr>
                  <a:t>[m]</a:t>
                </a:r>
                <a:endParaRPr lang="en-US">
                  <a:solidFill>
                    <a:sysClr val="windowText" lastClr="000000"/>
                  </a:solidFill>
                  <a:latin typeface="Helvetica-Normal" pitchFamily="2" charset="0"/>
                </a:endParaRPr>
              </a:p>
            </c:rich>
          </c:tx>
          <c:layout>
            <c:manualLayout>
              <c:xMode val="edge"/>
              <c:yMode val="edge"/>
              <c:x val="2.739490904484547E-2"/>
              <c:y val="0.1742536167350461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Helvetica-Normal" pitchFamily="2" charset="0"/>
                  <a:ea typeface="+mn-ea"/>
                  <a:cs typeface="+mn-cs"/>
                </a:defRPr>
              </a:pPr>
              <a:endParaRPr lang="en-US"/>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95667904"/>
        <c:crossesAt val="10000"/>
        <c:crossBetween val="midCat"/>
      </c:valAx>
      <c:spPr>
        <a:noFill/>
        <a:ln>
          <a:noFill/>
        </a:ln>
        <a:effectLst/>
      </c:spPr>
    </c:plotArea>
    <c:legend>
      <c:legendPos val="r"/>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Helvetica-Normal" pitchFamily="2" charset="0"/>
                <a:ea typeface="+mn-ea"/>
                <a:cs typeface="+mn-cs"/>
              </a:defRPr>
            </a:pPr>
            <a:endParaRPr lang="en-US"/>
          </a:p>
        </c:txPr>
      </c:legendEntry>
      <c:layout>
        <c:manualLayout>
          <c:xMode val="edge"/>
          <c:yMode val="edge"/>
          <c:x val="3.147304476666244E-2"/>
          <c:y val="0.88507983212899954"/>
          <c:w val="0.95277683463225515"/>
          <c:h val="9.5466796992708505E-2"/>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elvetica-Normal"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25" r="0.25" t="0.75" header="0.3" footer="0.3"/>
    <c:pageSetup paperSize="9"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6.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208659</xdr:colOff>
      <xdr:row>0</xdr:row>
      <xdr:rowOff>0</xdr:rowOff>
    </xdr:from>
    <xdr:to>
      <xdr:col>10</xdr:col>
      <xdr:colOff>559841</xdr:colOff>
      <xdr:row>5</xdr:row>
      <xdr:rowOff>44726</xdr:rowOff>
    </xdr:to>
    <xdr:pic>
      <xdr:nvPicPr>
        <xdr:cNvPr id="5" name="Grafik 4">
          <a:extLst>
            <a:ext uri="{FF2B5EF4-FFF2-40B4-BE49-F238E27FC236}">
              <a16:creationId xmlns:a16="http://schemas.microsoft.com/office/drawing/2014/main" id="{35AD80FC-CFC5-4F6D-831B-0A03C9A8A9CE}"/>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49724" y="0"/>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209655</xdr:colOff>
      <xdr:row>0</xdr:row>
      <xdr:rowOff>0</xdr:rowOff>
    </xdr:from>
    <xdr:to>
      <xdr:col>15</xdr:col>
      <xdr:colOff>105</xdr:colOff>
      <xdr:row>6</xdr:row>
      <xdr:rowOff>19050</xdr:rowOff>
    </xdr:to>
    <xdr:pic>
      <xdr:nvPicPr>
        <xdr:cNvPr id="3" name="Grafik 2">
          <a:extLst>
            <a:ext uri="{FF2B5EF4-FFF2-40B4-BE49-F238E27FC236}">
              <a16:creationId xmlns:a16="http://schemas.microsoft.com/office/drawing/2014/main" id="{05A50B63-3050-4A34-B109-7CF288ABC763}"/>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5830" y="0"/>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536122</xdr:colOff>
      <xdr:row>0</xdr:row>
      <xdr:rowOff>10885</xdr:rowOff>
    </xdr:from>
    <xdr:to>
      <xdr:col>10</xdr:col>
      <xdr:colOff>2766</xdr:colOff>
      <xdr:row>5</xdr:row>
      <xdr:rowOff>68035</xdr:rowOff>
    </xdr:to>
    <xdr:pic>
      <xdr:nvPicPr>
        <xdr:cNvPr id="2" name="Grafik 1">
          <a:extLst>
            <a:ext uri="{FF2B5EF4-FFF2-40B4-BE49-F238E27FC236}">
              <a16:creationId xmlns:a16="http://schemas.microsoft.com/office/drawing/2014/main" id="{9C9213F0-C579-4B15-9AFC-50F43D511C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9772" y="10885"/>
          <a:ext cx="914444" cy="914400"/>
        </a:xfrm>
        <a:prstGeom prst="rect">
          <a:avLst/>
        </a:prstGeom>
      </xdr:spPr>
    </xdr:pic>
    <xdr:clientData/>
  </xdr:twoCellAnchor>
  <xdr:twoCellAnchor>
    <xdr:from>
      <xdr:col>0</xdr:col>
      <xdr:colOff>0</xdr:colOff>
      <xdr:row>27</xdr:row>
      <xdr:rowOff>170649</xdr:rowOff>
    </xdr:from>
    <xdr:to>
      <xdr:col>9</xdr:col>
      <xdr:colOff>761999</xdr:colOff>
      <xdr:row>62</xdr:row>
      <xdr:rowOff>13606</xdr:rowOff>
    </xdr:to>
    <xdr:graphicFrame macro="">
      <xdr:nvGraphicFramePr>
        <xdr:cNvPr id="9" name="Diagramm 8">
          <a:extLst>
            <a:ext uri="{FF2B5EF4-FFF2-40B4-BE49-F238E27FC236}">
              <a16:creationId xmlns:a16="http://schemas.microsoft.com/office/drawing/2014/main" id="{E216476D-C64B-470B-9C73-A6E0C1368A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20291</xdr:colOff>
      <xdr:row>0</xdr:row>
      <xdr:rowOff>73715</xdr:rowOff>
    </xdr:from>
    <xdr:to>
      <xdr:col>8</xdr:col>
      <xdr:colOff>623863</xdr:colOff>
      <xdr:row>9</xdr:row>
      <xdr:rowOff>140045</xdr:rowOff>
    </xdr:to>
    <xdr:pic>
      <xdr:nvPicPr>
        <xdr:cNvPr id="4" name="Picture 3">
          <a:extLst>
            <a:ext uri="{FF2B5EF4-FFF2-40B4-BE49-F238E27FC236}">
              <a16:creationId xmlns:a16="http://schemas.microsoft.com/office/drawing/2014/main" id="{D33B95F7-5ABE-4ED1-BEAF-ABFA707E9C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9916" y="73715"/>
          <a:ext cx="3289622" cy="1771305"/>
        </a:xfrm>
        <a:prstGeom prst="rect">
          <a:avLst/>
        </a:prstGeom>
      </xdr:spPr>
    </xdr:pic>
    <xdr:clientData/>
  </xdr:twoCellAnchor>
  <xdr:oneCellAnchor>
    <xdr:from>
      <xdr:col>1</xdr:col>
      <xdr:colOff>63103</xdr:colOff>
      <xdr:row>16</xdr:row>
      <xdr:rowOff>134620</xdr:rowOff>
    </xdr:from>
    <xdr:ext cx="1029891" cy="198755"/>
    <mc:AlternateContent xmlns:mc="http://schemas.openxmlformats.org/markup-compatibility/2006" xmlns:a14="http://schemas.microsoft.com/office/drawing/2010/main">
      <mc:Choice Requires="a14">
        <xdr:sp macro="" textlink="">
          <xdr:nvSpPr>
            <xdr:cNvPr id="14" name="Textfeld 13">
              <a:extLst>
                <a:ext uri="{FF2B5EF4-FFF2-40B4-BE49-F238E27FC236}">
                  <a16:creationId xmlns:a16="http://schemas.microsoft.com/office/drawing/2014/main" id="{14129DA5-331A-4E1C-846D-D2B96E07B9F8}"/>
                </a:ext>
              </a:extLst>
            </xdr:cNvPr>
            <xdr:cNvSpPr txBox="1"/>
          </xdr:nvSpPr>
          <xdr:spPr>
            <a:xfrm>
              <a:off x="806053" y="3277870"/>
              <a:ext cx="1029891"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en-US" sz="1100" i="1">
                        <a:latin typeface="Cambria Math" panose="02040503050406030204" pitchFamily="18" charset="0"/>
                      </a:rPr>
                      <m:t>=</m:t>
                    </m:r>
                    <m:sSub>
                      <m:sSubPr>
                        <m:ctrlPr>
                          <a:rPr lang="de-CH" sz="1100" b="0" i="1">
                            <a:solidFill>
                              <a:schemeClr val="tx1"/>
                            </a:solidFill>
                            <a:effectLst/>
                            <a:latin typeface="Cambria Math" panose="02040503050406030204" pitchFamily="18" charset="0"/>
                            <a:ea typeface="+mn-ea"/>
                            <a:cs typeface="+mn-cs"/>
                          </a:rPr>
                        </m:ctrlPr>
                      </m:sSubPr>
                      <m:e>
                        <m:r>
                          <a:rPr lang="de-CH" sz="1100" b="0" i="1">
                            <a:solidFill>
                              <a:schemeClr val="tx1"/>
                            </a:solidFill>
                            <a:effectLst/>
                            <a:latin typeface="Cambria Math" panose="02040503050406030204" pitchFamily="18" charset="0"/>
                            <a:ea typeface="+mn-ea"/>
                            <a:cs typeface="+mn-cs"/>
                          </a:rPr>
                          <m:t>𝑍</m:t>
                        </m:r>
                      </m:e>
                      <m:sub>
                        <m:r>
                          <a:rPr lang="de-CH" sz="1100" b="0" i="1">
                            <a:solidFill>
                              <a:schemeClr val="tx1"/>
                            </a:solidFill>
                            <a:effectLst/>
                            <a:latin typeface="Cambria Math" panose="02040503050406030204" pitchFamily="18" charset="0"/>
                            <a:ea typeface="+mn-ea"/>
                            <a:cs typeface="+mn-cs"/>
                          </a:rPr>
                          <m:t>0</m:t>
                        </m:r>
                      </m:sub>
                    </m:sSub>
                  </m:oMath>
                </m:oMathPara>
              </a14:m>
              <a:endParaRPr lang="en-US" sz="1100"/>
            </a:p>
          </xdr:txBody>
        </xdr:sp>
      </mc:Choice>
      <mc:Fallback xmlns="">
        <xdr:sp macro="" textlink="">
          <xdr:nvSpPr>
            <xdr:cNvPr id="14" name="Textfeld 13">
              <a:extLst>
                <a:ext uri="{FF2B5EF4-FFF2-40B4-BE49-F238E27FC236}">
                  <a16:creationId xmlns:a16="http://schemas.microsoft.com/office/drawing/2014/main" id="{14129DA5-331A-4E1C-846D-D2B96E07B9F8}"/>
                </a:ext>
              </a:extLst>
            </xdr:cNvPr>
            <xdr:cNvSpPr txBox="1"/>
          </xdr:nvSpPr>
          <xdr:spPr>
            <a:xfrm>
              <a:off x="806053" y="3277870"/>
              <a:ext cx="1029891"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a:t>
              </a:r>
              <a:r>
                <a:rPr lang="en-US" sz="1100" i="0">
                  <a:latin typeface="Cambria Math" panose="02040503050406030204" pitchFamily="18" charset="0"/>
                </a:rPr>
                <a:t>=</a:t>
              </a:r>
              <a:r>
                <a:rPr lang="de-CH" sz="1100" b="0" i="0">
                  <a:solidFill>
                    <a:schemeClr val="tx1"/>
                  </a:solidFill>
                  <a:effectLst/>
                  <a:latin typeface="Cambria Math" panose="02040503050406030204" pitchFamily="18" charset="0"/>
                  <a:ea typeface="+mn-ea"/>
                  <a:cs typeface="+mn-cs"/>
                </a:rPr>
                <a:t>𝑍_0</a:t>
              </a:r>
              <a:endParaRPr lang="en-US" sz="1100"/>
            </a:p>
          </xdr:txBody>
        </xdr:sp>
      </mc:Fallback>
    </mc:AlternateContent>
    <xdr:clientData/>
  </xdr:oneCellAnchor>
  <xdr:oneCellAnchor>
    <xdr:from>
      <xdr:col>1</xdr:col>
      <xdr:colOff>72628</xdr:colOff>
      <xdr:row>20</xdr:row>
      <xdr:rowOff>47624</xdr:rowOff>
    </xdr:from>
    <xdr:ext cx="1017984" cy="198755"/>
    <mc:AlternateContent xmlns:mc="http://schemas.openxmlformats.org/markup-compatibility/2006" xmlns:a14="http://schemas.microsoft.com/office/drawing/2010/main">
      <mc:Choice Requires="a14">
        <xdr:sp macro="" textlink="">
          <xdr:nvSpPr>
            <xdr:cNvPr id="15" name="Textfeld 14">
              <a:extLst>
                <a:ext uri="{FF2B5EF4-FFF2-40B4-BE49-F238E27FC236}">
                  <a16:creationId xmlns:a16="http://schemas.microsoft.com/office/drawing/2014/main" id="{8A1EB2AA-710B-454A-A7A2-762E146F3377}"/>
                </a:ext>
              </a:extLst>
            </xdr:cNvPr>
            <xdr:cNvSpPr txBox="1"/>
          </xdr:nvSpPr>
          <xdr:spPr>
            <a:xfrm>
              <a:off x="815578" y="4867274"/>
              <a:ext cx="1017984"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en-US" sz="1100" i="1">
                        <a:latin typeface="Cambria Math" panose="02040503050406030204" pitchFamily="18" charset="0"/>
                      </a:rPr>
                      <m:t>=</m:t>
                    </m:r>
                    <m:r>
                      <a:rPr lang="de-CH" sz="1100" b="0" i="1">
                        <a:solidFill>
                          <a:schemeClr val="tx1"/>
                        </a:solidFill>
                        <a:effectLst/>
                        <a:latin typeface="Cambria Math" panose="02040503050406030204" pitchFamily="18" charset="0"/>
                        <a:ea typeface="+mn-ea"/>
                        <a:cs typeface="+mn-cs"/>
                      </a:rPr>
                      <m:t>0</m:t>
                    </m:r>
                  </m:oMath>
                </m:oMathPara>
              </a14:m>
              <a:endParaRPr lang="en-US" sz="1100"/>
            </a:p>
          </xdr:txBody>
        </xdr:sp>
      </mc:Choice>
      <mc:Fallback xmlns="">
        <xdr:sp macro="" textlink="">
          <xdr:nvSpPr>
            <xdr:cNvPr id="15" name="Textfeld 14">
              <a:extLst>
                <a:ext uri="{FF2B5EF4-FFF2-40B4-BE49-F238E27FC236}">
                  <a16:creationId xmlns:a16="http://schemas.microsoft.com/office/drawing/2014/main" id="{8A1EB2AA-710B-454A-A7A2-762E146F3377}"/>
                </a:ext>
              </a:extLst>
            </xdr:cNvPr>
            <xdr:cNvSpPr txBox="1"/>
          </xdr:nvSpPr>
          <xdr:spPr>
            <a:xfrm>
              <a:off x="815578" y="4867274"/>
              <a:ext cx="1017984"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a:t>
              </a:r>
              <a:r>
                <a:rPr lang="en-US" sz="1100" i="0">
                  <a:latin typeface="Cambria Math" panose="02040503050406030204" pitchFamily="18" charset="0"/>
                </a:rPr>
                <a:t>=</a:t>
              </a:r>
              <a:r>
                <a:rPr lang="de-CH" sz="1100" b="0" i="0">
                  <a:solidFill>
                    <a:schemeClr val="tx1"/>
                  </a:solidFill>
                  <a:effectLst/>
                  <a:latin typeface="Cambria Math" panose="02040503050406030204" pitchFamily="18" charset="0"/>
                  <a:ea typeface="+mn-ea"/>
                  <a:cs typeface="+mn-cs"/>
                </a:rPr>
                <a:t>0</a:t>
              </a:r>
              <a:endParaRPr lang="en-US" sz="1100"/>
            </a:p>
          </xdr:txBody>
        </xdr:sp>
      </mc:Fallback>
    </mc:AlternateContent>
    <xdr:clientData/>
  </xdr:oneCellAnchor>
  <xdr:oneCellAnchor>
    <xdr:from>
      <xdr:col>1</xdr:col>
      <xdr:colOff>66675</xdr:colOff>
      <xdr:row>20</xdr:row>
      <xdr:rowOff>232172</xdr:rowOff>
    </xdr:from>
    <xdr:ext cx="1029890" cy="198755"/>
    <mc:AlternateContent xmlns:mc="http://schemas.openxmlformats.org/markup-compatibility/2006" xmlns:a14="http://schemas.microsoft.com/office/drawing/2010/main">
      <mc:Choice Requires="a14">
        <xdr:sp macro="" textlink="">
          <xdr:nvSpPr>
            <xdr:cNvPr id="16" name="Textfeld 15">
              <a:extLst>
                <a:ext uri="{FF2B5EF4-FFF2-40B4-BE49-F238E27FC236}">
                  <a16:creationId xmlns:a16="http://schemas.microsoft.com/office/drawing/2014/main" id="{D1A9823A-519C-49C7-B03B-DA42CCCD9BA4}"/>
                </a:ext>
              </a:extLst>
            </xdr:cNvPr>
            <xdr:cNvSpPr txBox="1"/>
          </xdr:nvSpPr>
          <xdr:spPr>
            <a:xfrm>
              <a:off x="809625" y="5051822"/>
              <a:ext cx="1029890"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en-US" sz="1100" i="1">
                        <a:latin typeface="Cambria Math" panose="02040503050406030204" pitchFamily="18" charset="0"/>
                      </a:rPr>
                      <m:t>=</m:t>
                    </m:r>
                    <m:r>
                      <a:rPr lang="de-CH" sz="1100" b="0" i="1">
                        <a:latin typeface="Cambria Math" panose="02040503050406030204" pitchFamily="18" charset="0"/>
                        <a:ea typeface="Cambria Math" panose="02040503050406030204" pitchFamily="18" charset="0"/>
                      </a:rPr>
                      <m:t>∞</m:t>
                    </m:r>
                  </m:oMath>
                </m:oMathPara>
              </a14:m>
              <a:endParaRPr lang="en-US" sz="1100" i="0"/>
            </a:p>
          </xdr:txBody>
        </xdr:sp>
      </mc:Choice>
      <mc:Fallback xmlns="">
        <xdr:sp macro="" textlink="">
          <xdr:nvSpPr>
            <xdr:cNvPr id="16" name="Textfeld 15">
              <a:extLst>
                <a:ext uri="{FF2B5EF4-FFF2-40B4-BE49-F238E27FC236}">
                  <a16:creationId xmlns:a16="http://schemas.microsoft.com/office/drawing/2014/main" id="{D1A9823A-519C-49C7-B03B-DA42CCCD9BA4}"/>
                </a:ext>
              </a:extLst>
            </xdr:cNvPr>
            <xdr:cNvSpPr txBox="1"/>
          </xdr:nvSpPr>
          <xdr:spPr>
            <a:xfrm>
              <a:off x="809625" y="5051822"/>
              <a:ext cx="1029890"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a:t>
              </a:r>
              <a:r>
                <a:rPr lang="en-US" sz="1100" i="0">
                  <a:latin typeface="Cambria Math" panose="02040503050406030204" pitchFamily="18" charset="0"/>
                </a:rPr>
                <a:t>=</a:t>
              </a:r>
              <a:r>
                <a:rPr lang="de-CH" sz="1100" b="0" i="0">
                  <a:latin typeface="Cambria Math" panose="02040503050406030204" pitchFamily="18" charset="0"/>
                  <a:ea typeface="Cambria Math" panose="02040503050406030204" pitchFamily="18" charset="0"/>
                </a:rPr>
                <a:t>∞</a:t>
              </a:r>
              <a:endParaRPr lang="en-US" sz="1100" i="0"/>
            </a:p>
          </xdr:txBody>
        </xdr:sp>
      </mc:Fallback>
    </mc:AlternateContent>
    <xdr:clientData/>
  </xdr:oneCellAnchor>
  <xdr:oneCellAnchor>
    <xdr:from>
      <xdr:col>1</xdr:col>
      <xdr:colOff>22621</xdr:colOff>
      <xdr:row>18</xdr:row>
      <xdr:rowOff>208528</xdr:rowOff>
    </xdr:from>
    <xdr:ext cx="1263253" cy="181997"/>
    <mc:AlternateContent xmlns:mc="http://schemas.openxmlformats.org/markup-compatibility/2006" xmlns:a14="http://schemas.microsoft.com/office/drawing/2010/main">
      <mc:Choice Requires="a14">
        <xdr:sp macro="" textlink="">
          <xdr:nvSpPr>
            <xdr:cNvPr id="17" name="Textfeld 18">
              <a:extLst>
                <a:ext uri="{FF2B5EF4-FFF2-40B4-BE49-F238E27FC236}">
                  <a16:creationId xmlns:a16="http://schemas.microsoft.com/office/drawing/2014/main" id="{E8327A8B-EE95-4E35-95BB-6FBE523E49AD}"/>
                </a:ext>
              </a:extLst>
            </xdr:cNvPr>
            <xdr:cNvSpPr txBox="1"/>
          </xdr:nvSpPr>
          <xdr:spPr>
            <a:xfrm>
              <a:off x="765571" y="4513828"/>
              <a:ext cx="1263253" cy="1819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en-US" sz="1100" i="1">
                        <a:latin typeface="Cambria Math" panose="02040503050406030204" pitchFamily="18" charset="0"/>
                      </a:rPr>
                      <m:t>=</m:t>
                    </m:r>
                    <m:r>
                      <a:rPr lang="en-US" sz="1100" b="0" i="1">
                        <a:latin typeface="Cambria Math" panose="02040503050406030204" pitchFamily="18" charset="0"/>
                      </a:rPr>
                      <m:t>1.4…</m:t>
                    </m:r>
                    <m:r>
                      <a:rPr lang="de-CH" sz="1100" b="0" i="1">
                        <a:latin typeface="Cambria Math" panose="02040503050406030204" pitchFamily="18" charset="0"/>
                      </a:rPr>
                      <m:t>1.9</m:t>
                    </m:r>
                    <m:r>
                      <a:rPr lang="de-CH" sz="1100" b="0" i="1">
                        <a:solidFill>
                          <a:schemeClr val="tx1"/>
                        </a:solidFill>
                        <a:effectLst/>
                        <a:latin typeface="Cambria Math" panose="02040503050406030204" pitchFamily="18" charset="0"/>
                        <a:ea typeface="Cambria Math" panose="02040503050406030204" pitchFamily="18" charset="0"/>
                        <a:cs typeface="+mn-cs"/>
                      </a:rPr>
                      <m:t>∙</m:t>
                    </m:r>
                    <m:sSub>
                      <m:sSubPr>
                        <m:ctrlPr>
                          <a:rPr lang="de-CH" sz="1100" b="0" i="1">
                            <a:solidFill>
                              <a:schemeClr val="tx1"/>
                            </a:solidFill>
                            <a:effectLst/>
                            <a:latin typeface="Cambria Math" panose="02040503050406030204" pitchFamily="18" charset="0"/>
                            <a:ea typeface="+mn-ea"/>
                            <a:cs typeface="+mn-cs"/>
                          </a:rPr>
                        </m:ctrlPr>
                      </m:sSubPr>
                      <m:e>
                        <m:r>
                          <a:rPr lang="de-CH" sz="1100" b="0" i="1">
                            <a:solidFill>
                              <a:schemeClr val="tx1"/>
                            </a:solidFill>
                            <a:effectLst/>
                            <a:latin typeface="Cambria Math" panose="02040503050406030204" pitchFamily="18" charset="0"/>
                            <a:ea typeface="+mn-ea"/>
                            <a:cs typeface="+mn-cs"/>
                          </a:rPr>
                          <m:t>𝑍</m:t>
                        </m:r>
                      </m:e>
                      <m:sub>
                        <m:r>
                          <a:rPr lang="de-CH" sz="1100" b="0" i="1">
                            <a:solidFill>
                              <a:schemeClr val="tx1"/>
                            </a:solidFill>
                            <a:effectLst/>
                            <a:latin typeface="Cambria Math" panose="02040503050406030204" pitchFamily="18" charset="0"/>
                            <a:ea typeface="+mn-ea"/>
                            <a:cs typeface="+mn-cs"/>
                          </a:rPr>
                          <m:t>0</m:t>
                        </m:r>
                      </m:sub>
                    </m:sSub>
                  </m:oMath>
                </m:oMathPara>
              </a14:m>
              <a:endParaRPr lang="en-US" sz="1100"/>
            </a:p>
          </xdr:txBody>
        </xdr:sp>
      </mc:Choice>
      <mc:Fallback xmlns="">
        <xdr:sp macro="" textlink="">
          <xdr:nvSpPr>
            <xdr:cNvPr id="17" name="Textfeld 18">
              <a:extLst>
                <a:ext uri="{FF2B5EF4-FFF2-40B4-BE49-F238E27FC236}">
                  <a16:creationId xmlns:a16="http://schemas.microsoft.com/office/drawing/2014/main" id="{E8327A8B-EE95-4E35-95BB-6FBE523E49AD}"/>
                </a:ext>
              </a:extLst>
            </xdr:cNvPr>
            <xdr:cNvSpPr txBox="1"/>
          </xdr:nvSpPr>
          <xdr:spPr>
            <a:xfrm>
              <a:off x="765571" y="4513828"/>
              <a:ext cx="1263253" cy="1819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a:t>
              </a:r>
              <a:r>
                <a:rPr lang="en-US" sz="1100" i="0">
                  <a:latin typeface="Cambria Math" panose="02040503050406030204" pitchFamily="18" charset="0"/>
                </a:rPr>
                <a:t>=</a:t>
              </a:r>
              <a:r>
                <a:rPr lang="en-US" sz="1100" b="0" i="0">
                  <a:latin typeface="Cambria Math" panose="02040503050406030204" pitchFamily="18" charset="0"/>
                </a:rPr>
                <a:t>1.4…</a:t>
              </a:r>
              <a:r>
                <a:rPr lang="de-CH" sz="1100" b="0" i="0">
                  <a:latin typeface="Cambria Math" panose="02040503050406030204" pitchFamily="18" charset="0"/>
                </a:rPr>
                <a:t>1.9</a:t>
              </a:r>
              <a:r>
                <a:rPr lang="de-CH" sz="1100" b="0" i="0">
                  <a:solidFill>
                    <a:schemeClr val="tx1"/>
                  </a:solidFill>
                  <a:effectLst/>
                  <a:latin typeface="Cambria Math" panose="02040503050406030204" pitchFamily="18" charset="0"/>
                  <a:ea typeface="Cambria Math" panose="02040503050406030204" pitchFamily="18" charset="0"/>
                  <a:cs typeface="+mn-cs"/>
                </a:rPr>
                <a:t>∙</a:t>
              </a:r>
              <a:r>
                <a:rPr lang="de-CH" sz="1100" b="0" i="0">
                  <a:solidFill>
                    <a:schemeClr val="tx1"/>
                  </a:solidFill>
                  <a:effectLst/>
                  <a:latin typeface="Cambria Math" panose="02040503050406030204" pitchFamily="18" charset="0"/>
                  <a:ea typeface="+mn-ea"/>
                  <a:cs typeface="+mn-cs"/>
                </a:rPr>
                <a:t>𝑍_0</a:t>
              </a:r>
              <a:endParaRPr lang="en-US" sz="1100"/>
            </a:p>
          </xdr:txBody>
        </xdr:sp>
      </mc:Fallback>
    </mc:AlternateContent>
    <xdr:clientData/>
  </xdr:oneCellAnchor>
  <xdr:oneCellAnchor>
    <xdr:from>
      <xdr:col>1</xdr:col>
      <xdr:colOff>32146</xdr:colOff>
      <xdr:row>18</xdr:row>
      <xdr:rowOff>29936</xdr:rowOff>
    </xdr:from>
    <xdr:ext cx="1234679" cy="246289"/>
    <mc:AlternateContent xmlns:mc="http://schemas.openxmlformats.org/markup-compatibility/2006" xmlns:a14="http://schemas.microsoft.com/office/drawing/2010/main">
      <mc:Choice Requires="a14">
        <xdr:sp macro="" textlink="">
          <xdr:nvSpPr>
            <xdr:cNvPr id="18" name="Textfeld 19">
              <a:extLst>
                <a:ext uri="{FF2B5EF4-FFF2-40B4-BE49-F238E27FC236}">
                  <a16:creationId xmlns:a16="http://schemas.microsoft.com/office/drawing/2014/main" id="{9F4C8B86-4CBB-4F75-944A-20763B264062}"/>
                </a:ext>
              </a:extLst>
            </xdr:cNvPr>
            <xdr:cNvSpPr txBox="1"/>
          </xdr:nvSpPr>
          <xdr:spPr>
            <a:xfrm>
              <a:off x="775096" y="4335236"/>
              <a:ext cx="1234679" cy="246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en-US" sz="1100" i="1">
                        <a:latin typeface="Cambria Math" panose="02040503050406030204" pitchFamily="18" charset="0"/>
                      </a:rPr>
                      <m:t>=</m:t>
                    </m:r>
                    <m:r>
                      <a:rPr lang="de-CH" sz="1100" b="0" i="1">
                        <a:latin typeface="Cambria Math" panose="02040503050406030204" pitchFamily="18" charset="0"/>
                        <a:ea typeface="Cambria Math" panose="02040503050406030204" pitchFamily="18" charset="0"/>
                      </a:rPr>
                      <m:t>0.5</m:t>
                    </m:r>
                    <m:r>
                      <a:rPr lang="en-US" sz="1100" b="0" i="1">
                        <a:latin typeface="Cambria Math" panose="02040503050406030204" pitchFamily="18" charset="0"/>
                        <a:ea typeface="Cambria Math" panose="02040503050406030204" pitchFamily="18" charset="0"/>
                      </a:rPr>
                      <m:t>…0.7</m:t>
                    </m:r>
                    <m:r>
                      <a:rPr lang="de-CH" sz="1100" b="0" i="1">
                        <a:solidFill>
                          <a:schemeClr val="tx1"/>
                        </a:solidFill>
                        <a:effectLst/>
                        <a:latin typeface="Cambria Math" panose="02040503050406030204" pitchFamily="18" charset="0"/>
                        <a:ea typeface="+mn-ea"/>
                        <a:cs typeface="+mn-cs"/>
                      </a:rPr>
                      <m:t>∙</m:t>
                    </m:r>
                    <m:sSub>
                      <m:sSubPr>
                        <m:ctrlPr>
                          <a:rPr lang="de-CH" sz="1100" b="0" i="1">
                            <a:solidFill>
                              <a:schemeClr val="tx1"/>
                            </a:solidFill>
                            <a:effectLst/>
                            <a:latin typeface="Cambria Math" panose="02040503050406030204" pitchFamily="18" charset="0"/>
                            <a:ea typeface="+mn-ea"/>
                            <a:cs typeface="+mn-cs"/>
                          </a:rPr>
                        </m:ctrlPr>
                      </m:sSubPr>
                      <m:e>
                        <m:r>
                          <a:rPr lang="de-CH" sz="1100" b="0" i="1">
                            <a:solidFill>
                              <a:schemeClr val="tx1"/>
                            </a:solidFill>
                            <a:effectLst/>
                            <a:latin typeface="Cambria Math" panose="02040503050406030204" pitchFamily="18" charset="0"/>
                            <a:ea typeface="+mn-ea"/>
                            <a:cs typeface="+mn-cs"/>
                          </a:rPr>
                          <m:t>𝑍</m:t>
                        </m:r>
                      </m:e>
                      <m:sub>
                        <m:r>
                          <a:rPr lang="de-CH" sz="1100" b="0" i="1">
                            <a:solidFill>
                              <a:schemeClr val="tx1"/>
                            </a:solidFill>
                            <a:effectLst/>
                            <a:latin typeface="Cambria Math" panose="02040503050406030204" pitchFamily="18" charset="0"/>
                            <a:ea typeface="+mn-ea"/>
                            <a:cs typeface="+mn-cs"/>
                          </a:rPr>
                          <m:t>0</m:t>
                        </m:r>
                      </m:sub>
                    </m:sSub>
                  </m:oMath>
                </m:oMathPara>
              </a14:m>
              <a:endParaRPr lang="en-US" sz="1100" i="0"/>
            </a:p>
          </xdr:txBody>
        </xdr:sp>
      </mc:Choice>
      <mc:Fallback xmlns="">
        <xdr:sp macro="" textlink="">
          <xdr:nvSpPr>
            <xdr:cNvPr id="18" name="Textfeld 19">
              <a:extLst>
                <a:ext uri="{FF2B5EF4-FFF2-40B4-BE49-F238E27FC236}">
                  <a16:creationId xmlns:a16="http://schemas.microsoft.com/office/drawing/2014/main" id="{9F4C8B86-4CBB-4F75-944A-20763B264062}"/>
                </a:ext>
              </a:extLst>
            </xdr:cNvPr>
            <xdr:cNvSpPr txBox="1"/>
          </xdr:nvSpPr>
          <xdr:spPr>
            <a:xfrm>
              <a:off x="775096" y="4335236"/>
              <a:ext cx="1234679" cy="246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a:t>
              </a:r>
              <a:r>
                <a:rPr lang="en-US" sz="1100" i="0">
                  <a:latin typeface="Cambria Math" panose="02040503050406030204" pitchFamily="18" charset="0"/>
                </a:rPr>
                <a:t>=</a:t>
              </a:r>
              <a:r>
                <a:rPr lang="de-CH" sz="1100" b="0" i="0">
                  <a:latin typeface="Cambria Math" panose="02040503050406030204" pitchFamily="18" charset="0"/>
                  <a:ea typeface="Cambria Math" panose="02040503050406030204" pitchFamily="18" charset="0"/>
                </a:rPr>
                <a:t>0.5</a:t>
              </a:r>
              <a:r>
                <a:rPr lang="en-US" sz="1100" b="0" i="0">
                  <a:latin typeface="Cambria Math" panose="02040503050406030204" pitchFamily="18" charset="0"/>
                  <a:ea typeface="Cambria Math" panose="02040503050406030204" pitchFamily="18" charset="0"/>
                </a:rPr>
                <a:t>…0.7</a:t>
              </a:r>
              <a:r>
                <a:rPr lang="de-CH" sz="1100" b="0" i="0">
                  <a:solidFill>
                    <a:schemeClr val="tx1"/>
                  </a:solidFill>
                  <a:effectLst/>
                  <a:latin typeface="Cambria Math" panose="02040503050406030204" pitchFamily="18" charset="0"/>
                  <a:ea typeface="+mn-ea"/>
                  <a:cs typeface="+mn-cs"/>
                </a:rPr>
                <a:t>∙𝑍_0</a:t>
              </a:r>
              <a:endParaRPr lang="en-US" sz="1100" i="0"/>
            </a:p>
          </xdr:txBody>
        </xdr:sp>
      </mc:Fallback>
    </mc:AlternateContent>
    <xdr:clientData/>
  </xdr:oneCellAnchor>
  <xdr:oneCellAnchor>
    <xdr:from>
      <xdr:col>1</xdr:col>
      <xdr:colOff>60722</xdr:colOff>
      <xdr:row>17</xdr:row>
      <xdr:rowOff>203085</xdr:rowOff>
    </xdr:from>
    <xdr:ext cx="1038226" cy="198755"/>
    <mc:AlternateContent xmlns:mc="http://schemas.openxmlformats.org/markup-compatibility/2006" xmlns:a14="http://schemas.microsoft.com/office/drawing/2010/main">
      <mc:Choice Requires="a14">
        <xdr:sp macro="" textlink="">
          <xdr:nvSpPr>
            <xdr:cNvPr id="19" name="Textfeld 20">
              <a:extLst>
                <a:ext uri="{FF2B5EF4-FFF2-40B4-BE49-F238E27FC236}">
                  <a16:creationId xmlns:a16="http://schemas.microsoft.com/office/drawing/2014/main" id="{7F8786D7-E804-47E5-BC18-A3F7B92B67DD}"/>
                </a:ext>
              </a:extLst>
            </xdr:cNvPr>
            <xdr:cNvSpPr txBox="1"/>
          </xdr:nvSpPr>
          <xdr:spPr>
            <a:xfrm>
              <a:off x="803672" y="3765435"/>
              <a:ext cx="1038226"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en-US" sz="1100" i="1">
                        <a:latin typeface="Cambria Math" panose="02040503050406030204" pitchFamily="18" charset="0"/>
                      </a:rPr>
                      <m:t>=</m:t>
                    </m:r>
                    <m:r>
                      <a:rPr lang="de-CH" sz="1100" b="0" i="1">
                        <a:solidFill>
                          <a:schemeClr val="tx1"/>
                        </a:solidFill>
                        <a:effectLst/>
                        <a:latin typeface="Cambria Math" panose="02040503050406030204" pitchFamily="18" charset="0"/>
                        <a:ea typeface="+mn-ea"/>
                        <a:cs typeface="+mn-cs"/>
                      </a:rPr>
                      <m:t>1.4</m:t>
                    </m:r>
                    <m:r>
                      <a:rPr lang="de-CH" sz="1100" b="0" i="1">
                        <a:solidFill>
                          <a:schemeClr val="tx1"/>
                        </a:solidFill>
                        <a:effectLst/>
                        <a:latin typeface="Cambria Math" panose="02040503050406030204" pitchFamily="18" charset="0"/>
                        <a:ea typeface="Cambria Math" panose="02040503050406030204" pitchFamily="18" charset="0"/>
                        <a:cs typeface="+mn-cs"/>
                      </a:rPr>
                      <m:t>∙</m:t>
                    </m:r>
                    <m:sSub>
                      <m:sSubPr>
                        <m:ctrlPr>
                          <a:rPr lang="de-CH" sz="1100" b="0" i="1">
                            <a:solidFill>
                              <a:schemeClr val="tx1"/>
                            </a:solidFill>
                            <a:effectLst/>
                            <a:latin typeface="Cambria Math" panose="02040503050406030204" pitchFamily="18" charset="0"/>
                            <a:ea typeface="+mn-ea"/>
                            <a:cs typeface="+mn-cs"/>
                          </a:rPr>
                        </m:ctrlPr>
                      </m:sSubPr>
                      <m:e>
                        <m:r>
                          <a:rPr lang="de-CH" sz="1100" b="0" i="1">
                            <a:solidFill>
                              <a:schemeClr val="tx1"/>
                            </a:solidFill>
                            <a:effectLst/>
                            <a:latin typeface="Cambria Math" panose="02040503050406030204" pitchFamily="18" charset="0"/>
                            <a:ea typeface="+mn-ea"/>
                            <a:cs typeface="+mn-cs"/>
                          </a:rPr>
                          <m:t>𝑍</m:t>
                        </m:r>
                      </m:e>
                      <m:sub>
                        <m:r>
                          <a:rPr lang="de-CH" sz="1100" b="0" i="1">
                            <a:solidFill>
                              <a:schemeClr val="tx1"/>
                            </a:solidFill>
                            <a:effectLst/>
                            <a:latin typeface="Cambria Math" panose="02040503050406030204" pitchFamily="18" charset="0"/>
                            <a:ea typeface="+mn-ea"/>
                            <a:cs typeface="+mn-cs"/>
                          </a:rPr>
                          <m:t>0</m:t>
                        </m:r>
                      </m:sub>
                    </m:sSub>
                  </m:oMath>
                </m:oMathPara>
              </a14:m>
              <a:endParaRPr lang="en-US" sz="1100"/>
            </a:p>
          </xdr:txBody>
        </xdr:sp>
      </mc:Choice>
      <mc:Fallback xmlns="">
        <xdr:sp macro="" textlink="">
          <xdr:nvSpPr>
            <xdr:cNvPr id="19" name="Textfeld 20">
              <a:extLst>
                <a:ext uri="{FF2B5EF4-FFF2-40B4-BE49-F238E27FC236}">
                  <a16:creationId xmlns:a16="http://schemas.microsoft.com/office/drawing/2014/main" id="{7F8786D7-E804-47E5-BC18-A3F7B92B67DD}"/>
                </a:ext>
              </a:extLst>
            </xdr:cNvPr>
            <xdr:cNvSpPr txBox="1"/>
          </xdr:nvSpPr>
          <xdr:spPr>
            <a:xfrm>
              <a:off x="803672" y="3765435"/>
              <a:ext cx="1038226"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a:t>
              </a:r>
              <a:r>
                <a:rPr lang="en-US" sz="1100" i="0">
                  <a:latin typeface="Cambria Math" panose="02040503050406030204" pitchFamily="18" charset="0"/>
                </a:rPr>
                <a:t>=</a:t>
              </a:r>
              <a:r>
                <a:rPr lang="de-CH" sz="1100" b="0" i="0">
                  <a:solidFill>
                    <a:schemeClr val="tx1"/>
                  </a:solidFill>
                  <a:effectLst/>
                  <a:latin typeface="Cambria Math" panose="02040503050406030204" pitchFamily="18" charset="0"/>
                  <a:ea typeface="+mn-ea"/>
                  <a:cs typeface="+mn-cs"/>
                </a:rPr>
                <a:t>1.4</a:t>
              </a:r>
              <a:r>
                <a:rPr lang="de-CH" sz="1100" b="0" i="0">
                  <a:solidFill>
                    <a:schemeClr val="tx1"/>
                  </a:solidFill>
                  <a:effectLst/>
                  <a:latin typeface="Cambria Math" panose="02040503050406030204" pitchFamily="18" charset="0"/>
                  <a:ea typeface="Cambria Math" panose="02040503050406030204" pitchFamily="18" charset="0"/>
                  <a:cs typeface="+mn-cs"/>
                </a:rPr>
                <a:t>∙</a:t>
              </a:r>
              <a:r>
                <a:rPr lang="de-CH" sz="1100" b="0" i="0">
                  <a:solidFill>
                    <a:schemeClr val="tx1"/>
                  </a:solidFill>
                  <a:effectLst/>
                  <a:latin typeface="Cambria Math" panose="02040503050406030204" pitchFamily="18" charset="0"/>
                  <a:ea typeface="+mn-ea"/>
                  <a:cs typeface="+mn-cs"/>
                </a:rPr>
                <a:t>𝑍_0</a:t>
              </a:r>
              <a:endParaRPr lang="en-US" sz="1100"/>
            </a:p>
          </xdr:txBody>
        </xdr:sp>
      </mc:Fallback>
    </mc:AlternateContent>
    <xdr:clientData/>
  </xdr:oneCellAnchor>
  <xdr:oneCellAnchor>
    <xdr:from>
      <xdr:col>1</xdr:col>
      <xdr:colOff>60721</xdr:colOff>
      <xdr:row>17</xdr:row>
      <xdr:rowOff>24493</xdr:rowOff>
    </xdr:from>
    <xdr:ext cx="1026320" cy="198755"/>
    <mc:AlternateContent xmlns:mc="http://schemas.openxmlformats.org/markup-compatibility/2006" xmlns:a14="http://schemas.microsoft.com/office/drawing/2010/main">
      <mc:Choice Requires="a14">
        <xdr:sp macro="" textlink="">
          <xdr:nvSpPr>
            <xdr:cNvPr id="20" name="Textfeld 21">
              <a:extLst>
                <a:ext uri="{FF2B5EF4-FFF2-40B4-BE49-F238E27FC236}">
                  <a16:creationId xmlns:a16="http://schemas.microsoft.com/office/drawing/2014/main" id="{3C5822C0-8055-4E8C-94A7-0491FFE7AB2F}"/>
                </a:ext>
              </a:extLst>
            </xdr:cNvPr>
            <xdr:cNvSpPr txBox="1"/>
          </xdr:nvSpPr>
          <xdr:spPr>
            <a:xfrm>
              <a:off x="803671" y="3586843"/>
              <a:ext cx="1026320"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en-US" sz="1100" i="1">
                        <a:latin typeface="Cambria Math" panose="02040503050406030204" pitchFamily="18" charset="0"/>
                      </a:rPr>
                      <m:t>=</m:t>
                    </m:r>
                    <m:r>
                      <a:rPr lang="de-CH" sz="1100" b="0" i="1">
                        <a:latin typeface="Cambria Math" panose="02040503050406030204" pitchFamily="18" charset="0"/>
                        <a:ea typeface="Cambria Math" panose="02040503050406030204" pitchFamily="18" charset="0"/>
                      </a:rPr>
                      <m:t>0.7</m:t>
                    </m:r>
                    <m:r>
                      <a:rPr lang="de-CH" sz="1100" b="0" i="1">
                        <a:solidFill>
                          <a:schemeClr val="tx1"/>
                        </a:solidFill>
                        <a:effectLst/>
                        <a:latin typeface="Cambria Math" panose="02040503050406030204" pitchFamily="18" charset="0"/>
                        <a:ea typeface="+mn-ea"/>
                        <a:cs typeface="+mn-cs"/>
                      </a:rPr>
                      <m:t>∙</m:t>
                    </m:r>
                    <m:sSub>
                      <m:sSubPr>
                        <m:ctrlPr>
                          <a:rPr lang="de-CH" sz="1100" b="0" i="1">
                            <a:solidFill>
                              <a:schemeClr val="tx1"/>
                            </a:solidFill>
                            <a:effectLst/>
                            <a:latin typeface="Cambria Math" panose="02040503050406030204" pitchFamily="18" charset="0"/>
                            <a:ea typeface="+mn-ea"/>
                            <a:cs typeface="+mn-cs"/>
                          </a:rPr>
                        </m:ctrlPr>
                      </m:sSubPr>
                      <m:e>
                        <m:r>
                          <a:rPr lang="de-CH" sz="1100" b="0" i="1">
                            <a:solidFill>
                              <a:schemeClr val="tx1"/>
                            </a:solidFill>
                            <a:effectLst/>
                            <a:latin typeface="Cambria Math" panose="02040503050406030204" pitchFamily="18" charset="0"/>
                            <a:ea typeface="+mn-ea"/>
                            <a:cs typeface="+mn-cs"/>
                          </a:rPr>
                          <m:t>𝑍</m:t>
                        </m:r>
                      </m:e>
                      <m:sub>
                        <m:r>
                          <a:rPr lang="de-CH" sz="1100" b="0" i="1">
                            <a:solidFill>
                              <a:schemeClr val="tx1"/>
                            </a:solidFill>
                            <a:effectLst/>
                            <a:latin typeface="Cambria Math" panose="02040503050406030204" pitchFamily="18" charset="0"/>
                            <a:ea typeface="+mn-ea"/>
                            <a:cs typeface="+mn-cs"/>
                          </a:rPr>
                          <m:t>0</m:t>
                        </m:r>
                      </m:sub>
                    </m:sSub>
                  </m:oMath>
                </m:oMathPara>
              </a14:m>
              <a:endParaRPr lang="en-US" sz="1100" i="0"/>
            </a:p>
          </xdr:txBody>
        </xdr:sp>
      </mc:Choice>
      <mc:Fallback xmlns="">
        <xdr:sp macro="" textlink="">
          <xdr:nvSpPr>
            <xdr:cNvPr id="20" name="Textfeld 21">
              <a:extLst>
                <a:ext uri="{FF2B5EF4-FFF2-40B4-BE49-F238E27FC236}">
                  <a16:creationId xmlns:a16="http://schemas.microsoft.com/office/drawing/2014/main" id="{3C5822C0-8055-4E8C-94A7-0491FFE7AB2F}"/>
                </a:ext>
              </a:extLst>
            </xdr:cNvPr>
            <xdr:cNvSpPr txBox="1"/>
          </xdr:nvSpPr>
          <xdr:spPr>
            <a:xfrm>
              <a:off x="803671" y="3586843"/>
              <a:ext cx="1026320"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a:t>
              </a:r>
              <a:r>
                <a:rPr lang="en-US" sz="1100" i="0">
                  <a:latin typeface="Cambria Math" panose="02040503050406030204" pitchFamily="18" charset="0"/>
                </a:rPr>
                <a:t>=</a:t>
              </a:r>
              <a:r>
                <a:rPr lang="de-CH" sz="1100" b="0" i="0">
                  <a:latin typeface="Cambria Math" panose="02040503050406030204" pitchFamily="18" charset="0"/>
                  <a:ea typeface="Cambria Math" panose="02040503050406030204" pitchFamily="18" charset="0"/>
                </a:rPr>
                <a:t>0.7</a:t>
              </a:r>
              <a:r>
                <a:rPr lang="de-CH" sz="1100" b="0" i="0">
                  <a:solidFill>
                    <a:schemeClr val="tx1"/>
                  </a:solidFill>
                  <a:effectLst/>
                  <a:latin typeface="Cambria Math" panose="02040503050406030204" pitchFamily="18" charset="0"/>
                  <a:ea typeface="+mn-ea"/>
                  <a:cs typeface="+mn-cs"/>
                </a:rPr>
                <a:t>∙𝑍_0</a:t>
              </a:r>
              <a:endParaRPr lang="en-US" sz="1100" i="0"/>
            </a:p>
          </xdr:txBody>
        </xdr:sp>
      </mc:Fallback>
    </mc:AlternateContent>
    <xdr:clientData/>
  </xdr:oneCellAnchor>
  <xdr:oneCellAnchor>
    <xdr:from>
      <xdr:col>1</xdr:col>
      <xdr:colOff>66676</xdr:colOff>
      <xdr:row>19</xdr:row>
      <xdr:rowOff>198491</xdr:rowOff>
    </xdr:from>
    <xdr:ext cx="1035844" cy="198755"/>
    <mc:AlternateContent xmlns:mc="http://schemas.openxmlformats.org/markup-compatibility/2006" xmlns:a14="http://schemas.microsoft.com/office/drawing/2010/main">
      <mc:Choice Requires="a14">
        <xdr:sp macro="" textlink="">
          <xdr:nvSpPr>
            <xdr:cNvPr id="21" name="Textfeld 22">
              <a:extLst>
                <a:ext uri="{FF2B5EF4-FFF2-40B4-BE49-F238E27FC236}">
                  <a16:creationId xmlns:a16="http://schemas.microsoft.com/office/drawing/2014/main" id="{7FE3874F-97F7-4402-9153-5F818329C619}"/>
                </a:ext>
              </a:extLst>
            </xdr:cNvPr>
            <xdr:cNvSpPr txBox="1"/>
          </xdr:nvSpPr>
          <xdr:spPr>
            <a:xfrm>
              <a:off x="809626" y="4599041"/>
              <a:ext cx="1035844"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de-CH" sz="1100" b="0" i="1">
                        <a:solidFill>
                          <a:schemeClr val="tx1"/>
                        </a:solidFill>
                        <a:effectLst/>
                        <a:latin typeface="Cambria Math" panose="02040503050406030204" pitchFamily="18" charset="0"/>
                        <a:ea typeface="Cambria Math" panose="02040503050406030204" pitchFamily="18" charset="0"/>
                        <a:cs typeface="+mn-cs"/>
                      </a:rPr>
                      <m:t>&gt;</m:t>
                    </m:r>
                    <m:r>
                      <a:rPr lang="de-CH" sz="1100" b="0" i="1">
                        <a:solidFill>
                          <a:schemeClr val="tx1"/>
                        </a:solidFill>
                        <a:effectLst/>
                        <a:latin typeface="Cambria Math" panose="02040503050406030204" pitchFamily="18" charset="0"/>
                        <a:ea typeface="+mn-ea"/>
                        <a:cs typeface="+mn-cs"/>
                      </a:rPr>
                      <m:t>1.9∙</m:t>
                    </m:r>
                    <m:sSub>
                      <m:sSubPr>
                        <m:ctrlPr>
                          <a:rPr lang="de-CH" sz="1100" b="0" i="1">
                            <a:solidFill>
                              <a:schemeClr val="tx1"/>
                            </a:solidFill>
                            <a:effectLst/>
                            <a:latin typeface="Cambria Math" panose="02040503050406030204" pitchFamily="18" charset="0"/>
                            <a:ea typeface="+mn-ea"/>
                            <a:cs typeface="+mn-cs"/>
                          </a:rPr>
                        </m:ctrlPr>
                      </m:sSubPr>
                      <m:e>
                        <m:r>
                          <a:rPr lang="de-CH" sz="1100" b="0" i="1">
                            <a:solidFill>
                              <a:schemeClr val="tx1"/>
                            </a:solidFill>
                            <a:effectLst/>
                            <a:latin typeface="Cambria Math" panose="02040503050406030204" pitchFamily="18" charset="0"/>
                            <a:ea typeface="+mn-ea"/>
                            <a:cs typeface="+mn-cs"/>
                          </a:rPr>
                          <m:t>𝑍</m:t>
                        </m:r>
                      </m:e>
                      <m:sub>
                        <m:r>
                          <a:rPr lang="de-CH" sz="1100" b="0" i="1">
                            <a:solidFill>
                              <a:schemeClr val="tx1"/>
                            </a:solidFill>
                            <a:effectLst/>
                            <a:latin typeface="Cambria Math" panose="02040503050406030204" pitchFamily="18" charset="0"/>
                            <a:ea typeface="+mn-ea"/>
                            <a:cs typeface="+mn-cs"/>
                          </a:rPr>
                          <m:t>0</m:t>
                        </m:r>
                      </m:sub>
                    </m:sSub>
                  </m:oMath>
                </m:oMathPara>
              </a14:m>
              <a:endParaRPr lang="en-US" sz="1100"/>
            </a:p>
          </xdr:txBody>
        </xdr:sp>
      </mc:Choice>
      <mc:Fallback xmlns="">
        <xdr:sp macro="" textlink="">
          <xdr:nvSpPr>
            <xdr:cNvPr id="21" name="Textfeld 22">
              <a:extLst>
                <a:ext uri="{FF2B5EF4-FFF2-40B4-BE49-F238E27FC236}">
                  <a16:creationId xmlns:a16="http://schemas.microsoft.com/office/drawing/2014/main" id="{7FE3874F-97F7-4402-9153-5F818329C619}"/>
                </a:ext>
              </a:extLst>
            </xdr:cNvPr>
            <xdr:cNvSpPr txBox="1"/>
          </xdr:nvSpPr>
          <xdr:spPr>
            <a:xfrm>
              <a:off x="809626" y="4599041"/>
              <a:ext cx="1035844"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a:t>
              </a:r>
              <a:r>
                <a:rPr lang="de-CH" sz="1100" b="0" i="0">
                  <a:solidFill>
                    <a:schemeClr val="tx1"/>
                  </a:solidFill>
                  <a:effectLst/>
                  <a:latin typeface="Cambria Math" panose="02040503050406030204" pitchFamily="18" charset="0"/>
                  <a:ea typeface="Cambria Math" panose="02040503050406030204" pitchFamily="18" charset="0"/>
                  <a:cs typeface="+mn-cs"/>
                </a:rPr>
                <a:t>&gt;</a:t>
              </a:r>
              <a:r>
                <a:rPr lang="de-CH" sz="1100" b="0" i="0">
                  <a:solidFill>
                    <a:schemeClr val="tx1"/>
                  </a:solidFill>
                  <a:effectLst/>
                  <a:latin typeface="Cambria Math" panose="02040503050406030204" pitchFamily="18" charset="0"/>
                  <a:ea typeface="+mn-ea"/>
                  <a:cs typeface="+mn-cs"/>
                </a:rPr>
                <a:t>1.9∙𝑍_0</a:t>
              </a:r>
              <a:endParaRPr lang="en-US" sz="1100"/>
            </a:p>
          </xdr:txBody>
        </xdr:sp>
      </mc:Fallback>
    </mc:AlternateContent>
    <xdr:clientData/>
  </xdr:oneCellAnchor>
  <xdr:oneCellAnchor>
    <xdr:from>
      <xdr:col>1</xdr:col>
      <xdr:colOff>69055</xdr:colOff>
      <xdr:row>19</xdr:row>
      <xdr:rowOff>19899</xdr:rowOff>
    </xdr:from>
    <xdr:ext cx="1035845" cy="198755"/>
    <mc:AlternateContent xmlns:mc="http://schemas.openxmlformats.org/markup-compatibility/2006" xmlns:a14="http://schemas.microsoft.com/office/drawing/2010/main">
      <mc:Choice Requires="a14">
        <xdr:sp macro="" textlink="">
          <xdr:nvSpPr>
            <xdr:cNvPr id="22" name="Textfeld 23">
              <a:extLst>
                <a:ext uri="{FF2B5EF4-FFF2-40B4-BE49-F238E27FC236}">
                  <a16:creationId xmlns:a16="http://schemas.microsoft.com/office/drawing/2014/main" id="{890D2E6D-B554-48B9-ABCC-ED8996A6797E}"/>
                </a:ext>
              </a:extLst>
            </xdr:cNvPr>
            <xdr:cNvSpPr txBox="1"/>
          </xdr:nvSpPr>
          <xdr:spPr>
            <a:xfrm>
              <a:off x="812005" y="4420449"/>
              <a:ext cx="1035845"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de-CH" sz="1100" b="0" i="1">
                        <a:latin typeface="Cambria Math" panose="02040503050406030204" pitchFamily="18" charset="0"/>
                      </a:rPr>
                      <m:t>&lt;</m:t>
                    </m:r>
                    <m:r>
                      <a:rPr lang="de-CH" sz="1100" b="0" i="1">
                        <a:latin typeface="Cambria Math" panose="02040503050406030204" pitchFamily="18" charset="0"/>
                        <a:ea typeface="Cambria Math" panose="02040503050406030204" pitchFamily="18" charset="0"/>
                      </a:rPr>
                      <m:t>0.5</m:t>
                    </m:r>
                    <m:r>
                      <a:rPr lang="de-CH" sz="1100" b="0" i="1">
                        <a:solidFill>
                          <a:schemeClr val="tx1"/>
                        </a:solidFill>
                        <a:effectLst/>
                        <a:latin typeface="Cambria Math" panose="02040503050406030204" pitchFamily="18" charset="0"/>
                        <a:ea typeface="+mn-ea"/>
                        <a:cs typeface="+mn-cs"/>
                      </a:rPr>
                      <m:t>∙</m:t>
                    </m:r>
                    <m:sSub>
                      <m:sSubPr>
                        <m:ctrlPr>
                          <a:rPr lang="de-CH" sz="1100" b="0" i="1">
                            <a:solidFill>
                              <a:schemeClr val="tx1"/>
                            </a:solidFill>
                            <a:effectLst/>
                            <a:latin typeface="Cambria Math" panose="02040503050406030204" pitchFamily="18" charset="0"/>
                            <a:ea typeface="+mn-ea"/>
                            <a:cs typeface="+mn-cs"/>
                          </a:rPr>
                        </m:ctrlPr>
                      </m:sSubPr>
                      <m:e>
                        <m:r>
                          <a:rPr lang="de-CH" sz="1100" b="0" i="1">
                            <a:solidFill>
                              <a:schemeClr val="tx1"/>
                            </a:solidFill>
                            <a:effectLst/>
                            <a:latin typeface="Cambria Math" panose="02040503050406030204" pitchFamily="18" charset="0"/>
                            <a:ea typeface="+mn-ea"/>
                            <a:cs typeface="+mn-cs"/>
                          </a:rPr>
                          <m:t>𝑍</m:t>
                        </m:r>
                      </m:e>
                      <m:sub>
                        <m:r>
                          <a:rPr lang="de-CH" sz="1100" b="0" i="1">
                            <a:solidFill>
                              <a:schemeClr val="tx1"/>
                            </a:solidFill>
                            <a:effectLst/>
                            <a:latin typeface="Cambria Math" panose="02040503050406030204" pitchFamily="18" charset="0"/>
                            <a:ea typeface="+mn-ea"/>
                            <a:cs typeface="+mn-cs"/>
                          </a:rPr>
                          <m:t>0</m:t>
                        </m:r>
                      </m:sub>
                    </m:sSub>
                  </m:oMath>
                </m:oMathPara>
              </a14:m>
              <a:endParaRPr lang="en-US" sz="1100" i="0"/>
            </a:p>
          </xdr:txBody>
        </xdr:sp>
      </mc:Choice>
      <mc:Fallback xmlns="">
        <xdr:sp macro="" textlink="">
          <xdr:nvSpPr>
            <xdr:cNvPr id="22" name="Textfeld 23">
              <a:extLst>
                <a:ext uri="{FF2B5EF4-FFF2-40B4-BE49-F238E27FC236}">
                  <a16:creationId xmlns:a16="http://schemas.microsoft.com/office/drawing/2014/main" id="{890D2E6D-B554-48B9-ABCC-ED8996A6797E}"/>
                </a:ext>
              </a:extLst>
            </xdr:cNvPr>
            <xdr:cNvSpPr txBox="1"/>
          </xdr:nvSpPr>
          <xdr:spPr>
            <a:xfrm>
              <a:off x="812005" y="4420449"/>
              <a:ext cx="1035845"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𝑍_load&lt;</a:t>
              </a:r>
              <a:r>
                <a:rPr lang="de-CH" sz="1100" b="0" i="0">
                  <a:latin typeface="Cambria Math" panose="02040503050406030204" pitchFamily="18" charset="0"/>
                  <a:ea typeface="Cambria Math" panose="02040503050406030204" pitchFamily="18" charset="0"/>
                </a:rPr>
                <a:t>0.5</a:t>
              </a:r>
              <a:r>
                <a:rPr lang="de-CH" sz="1100" b="0" i="0">
                  <a:solidFill>
                    <a:schemeClr val="tx1"/>
                  </a:solidFill>
                  <a:effectLst/>
                  <a:latin typeface="Cambria Math" panose="02040503050406030204" pitchFamily="18" charset="0"/>
                  <a:ea typeface="+mn-ea"/>
                  <a:cs typeface="+mn-cs"/>
                </a:rPr>
                <a:t>∙𝑍_0</a:t>
              </a:r>
              <a:endParaRPr lang="en-US" sz="1100" i="0"/>
            </a:p>
          </xdr:txBody>
        </xdr:sp>
      </mc:Fallback>
    </mc:AlternateContent>
    <xdr:clientData/>
  </xdr:oneCellAnchor>
  <xdr:twoCellAnchor editAs="oneCell">
    <xdr:from>
      <xdr:col>9</xdr:col>
      <xdr:colOff>798738</xdr:colOff>
      <xdr:row>0</xdr:row>
      <xdr:rowOff>0</xdr:rowOff>
    </xdr:from>
    <xdr:to>
      <xdr:col>10</xdr:col>
      <xdr:colOff>817788</xdr:colOff>
      <xdr:row>4</xdr:row>
      <xdr:rowOff>114300</xdr:rowOff>
    </xdr:to>
    <xdr:pic>
      <xdr:nvPicPr>
        <xdr:cNvPr id="23" name="Grafik 3">
          <a:extLst>
            <a:ext uri="{FF2B5EF4-FFF2-40B4-BE49-F238E27FC236}">
              <a16:creationId xmlns:a16="http://schemas.microsoft.com/office/drawing/2014/main" id="{B678F09B-FBAD-4AF5-B4F2-75C265933D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47363" y="0"/>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514350</xdr:colOff>
      <xdr:row>0</xdr:row>
      <xdr:rowOff>0</xdr:rowOff>
    </xdr:from>
    <xdr:to>
      <xdr:col>13</xdr:col>
      <xdr:colOff>0</xdr:colOff>
      <xdr:row>5</xdr:row>
      <xdr:rowOff>57150</xdr:rowOff>
    </xdr:to>
    <xdr:pic>
      <xdr:nvPicPr>
        <xdr:cNvPr id="2" name="Grafik 3">
          <a:extLst>
            <a:ext uri="{FF2B5EF4-FFF2-40B4-BE49-F238E27FC236}">
              <a16:creationId xmlns:a16="http://schemas.microsoft.com/office/drawing/2014/main" id="{F36184AE-1786-45C0-A2DD-5A85CBCF90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2475" y="0"/>
          <a:ext cx="914400" cy="914400"/>
        </a:xfrm>
        <a:prstGeom prst="rect">
          <a:avLst/>
        </a:prstGeom>
      </xdr:spPr>
    </xdr:pic>
    <xdr:clientData/>
  </xdr:twoCellAnchor>
  <xdr:twoCellAnchor editAs="oneCell">
    <xdr:from>
      <xdr:col>0</xdr:col>
      <xdr:colOff>0</xdr:colOff>
      <xdr:row>25</xdr:row>
      <xdr:rowOff>50348</xdr:rowOff>
    </xdr:from>
    <xdr:to>
      <xdr:col>5</xdr:col>
      <xdr:colOff>342811</xdr:colOff>
      <xdr:row>43</xdr:row>
      <xdr:rowOff>131484</xdr:rowOff>
    </xdr:to>
    <xdr:pic>
      <xdr:nvPicPr>
        <xdr:cNvPr id="4" name="Picture 3">
          <a:extLst>
            <a:ext uri="{FF2B5EF4-FFF2-40B4-BE49-F238E27FC236}">
              <a16:creationId xmlns:a16="http://schemas.microsoft.com/office/drawing/2014/main" id="{9E20CD43-FD99-4E4E-81F1-4A2EF5591E6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517573"/>
          <a:ext cx="3914686" cy="30910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295274</xdr:colOff>
      <xdr:row>0</xdr:row>
      <xdr:rowOff>47625</xdr:rowOff>
    </xdr:from>
    <xdr:to>
      <xdr:col>6</xdr:col>
      <xdr:colOff>604215</xdr:colOff>
      <xdr:row>4</xdr:row>
      <xdr:rowOff>161925</xdr:rowOff>
    </xdr:to>
    <xdr:pic>
      <xdr:nvPicPr>
        <xdr:cNvPr id="2" name="Grafik 3">
          <a:extLst>
            <a:ext uri="{FF2B5EF4-FFF2-40B4-BE49-F238E27FC236}">
              <a16:creationId xmlns:a16="http://schemas.microsoft.com/office/drawing/2014/main" id="{94FC01EF-2736-4D71-8DF1-D9C1103802E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199" y="47625"/>
          <a:ext cx="918541" cy="914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514349</xdr:colOff>
      <xdr:row>0</xdr:row>
      <xdr:rowOff>0</xdr:rowOff>
    </xdr:from>
    <xdr:to>
      <xdr:col>13</xdr:col>
      <xdr:colOff>4140</xdr:colOff>
      <xdr:row>5</xdr:row>
      <xdr:rowOff>44726</xdr:rowOff>
    </xdr:to>
    <xdr:pic>
      <xdr:nvPicPr>
        <xdr:cNvPr id="2" name="Grafik 3">
          <a:extLst>
            <a:ext uri="{FF2B5EF4-FFF2-40B4-BE49-F238E27FC236}">
              <a16:creationId xmlns:a16="http://schemas.microsoft.com/office/drawing/2014/main" id="{FF09EBF2-2DC8-446A-9F0E-4B380BFCB79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9697" y="0"/>
          <a:ext cx="914400" cy="914400"/>
        </a:xfrm>
        <a:prstGeom prst="rect">
          <a:avLst/>
        </a:prstGeom>
      </xdr:spPr>
    </xdr:pic>
    <xdr:clientData/>
  </xdr:twoCellAnchor>
  <xdr:twoCellAnchor editAs="oneCell">
    <xdr:from>
      <xdr:col>0</xdr:col>
      <xdr:colOff>47625</xdr:colOff>
      <xdr:row>12</xdr:row>
      <xdr:rowOff>71890</xdr:rowOff>
    </xdr:from>
    <xdr:to>
      <xdr:col>8</xdr:col>
      <xdr:colOff>153296</xdr:colOff>
      <xdr:row>22</xdr:row>
      <xdr:rowOff>43065</xdr:rowOff>
    </xdr:to>
    <xdr:pic>
      <xdr:nvPicPr>
        <xdr:cNvPr id="17" name="Picture 16">
          <a:extLst>
            <a:ext uri="{FF2B5EF4-FFF2-40B4-BE49-F238E27FC236}">
              <a16:creationId xmlns:a16="http://schemas.microsoft.com/office/drawing/2014/main" id="{C2E4C500-6371-44D9-A55A-02F91355936F}"/>
            </a:ext>
          </a:extLst>
        </xdr:cNvPr>
        <xdr:cNvPicPr>
          <a:picLocks noChangeAspect="1"/>
        </xdr:cNvPicPr>
      </xdr:nvPicPr>
      <xdr:blipFill>
        <a:blip xmlns:r="http://schemas.openxmlformats.org/officeDocument/2006/relationships" r:embed="rId2"/>
        <a:stretch>
          <a:fillRect/>
        </a:stretch>
      </xdr:blipFill>
      <xdr:spPr>
        <a:xfrm>
          <a:off x="47625" y="2129290"/>
          <a:ext cx="5820671" cy="1666625"/>
        </a:xfrm>
        <a:prstGeom prst="rect">
          <a:avLst/>
        </a:prstGeom>
      </xdr:spPr>
    </xdr:pic>
    <xdr:clientData/>
  </xdr:twoCellAnchor>
  <xdr:oneCellAnchor>
    <xdr:from>
      <xdr:col>0</xdr:col>
      <xdr:colOff>28575</xdr:colOff>
      <xdr:row>82</xdr:row>
      <xdr:rowOff>28575</xdr:rowOff>
    </xdr:from>
    <xdr:ext cx="3461899" cy="828675"/>
    <xdr:pic>
      <xdr:nvPicPr>
        <xdr:cNvPr id="5" name="Picture 4">
          <a:extLst>
            <a:ext uri="{FF2B5EF4-FFF2-40B4-BE49-F238E27FC236}">
              <a16:creationId xmlns:a16="http://schemas.microsoft.com/office/drawing/2014/main" id="{05FFF8DA-FDC4-4191-837C-C1D8E1639B52}"/>
            </a:ext>
          </a:extLst>
        </xdr:cNvPr>
        <xdr:cNvPicPr>
          <a:picLocks noChangeAspect="1"/>
        </xdr:cNvPicPr>
      </xdr:nvPicPr>
      <xdr:blipFill>
        <a:blip xmlns:r="http://schemas.openxmlformats.org/officeDocument/2006/relationships" r:embed="rId3"/>
        <a:stretch>
          <a:fillRect/>
        </a:stretch>
      </xdr:blipFill>
      <xdr:spPr>
        <a:xfrm>
          <a:off x="28575" y="8401050"/>
          <a:ext cx="3461899" cy="828675"/>
        </a:xfrm>
        <a:prstGeom prst="rect">
          <a:avLst/>
        </a:prstGeom>
      </xdr:spPr>
    </xdr:pic>
    <xdr:clientData/>
  </xdr:oneCellAnchor>
  <xdr:twoCellAnchor editAs="oneCell">
    <xdr:from>
      <xdr:col>0</xdr:col>
      <xdr:colOff>76200</xdr:colOff>
      <xdr:row>32</xdr:row>
      <xdr:rowOff>116692</xdr:rowOff>
    </xdr:from>
    <xdr:to>
      <xdr:col>4</xdr:col>
      <xdr:colOff>621610</xdr:colOff>
      <xdr:row>38</xdr:row>
      <xdr:rowOff>106017</xdr:rowOff>
    </xdr:to>
    <xdr:pic>
      <xdr:nvPicPr>
        <xdr:cNvPr id="6" name="Picture 5">
          <a:extLst>
            <a:ext uri="{FF2B5EF4-FFF2-40B4-BE49-F238E27FC236}">
              <a16:creationId xmlns:a16="http://schemas.microsoft.com/office/drawing/2014/main" id="{A7848243-8DA3-4E55-94C9-F4497AA26E91}"/>
            </a:ext>
          </a:extLst>
        </xdr:cNvPr>
        <xdr:cNvPicPr>
          <a:picLocks noChangeAspect="1"/>
        </xdr:cNvPicPr>
      </xdr:nvPicPr>
      <xdr:blipFill>
        <a:blip xmlns:r="http://schemas.openxmlformats.org/officeDocument/2006/relationships" r:embed="rId4"/>
        <a:stretch>
          <a:fillRect/>
        </a:stretch>
      </xdr:blipFill>
      <xdr:spPr>
        <a:xfrm>
          <a:off x="76200" y="5545942"/>
          <a:ext cx="3402910" cy="1018025"/>
        </a:xfrm>
        <a:prstGeom prst="rect">
          <a:avLst/>
        </a:prstGeom>
      </xdr:spPr>
    </xdr:pic>
    <xdr:clientData/>
  </xdr:twoCellAnchor>
  <xdr:twoCellAnchor editAs="oneCell">
    <xdr:from>
      <xdr:col>0</xdr:col>
      <xdr:colOff>66675</xdr:colOff>
      <xdr:row>114</xdr:row>
      <xdr:rowOff>69612</xdr:rowOff>
    </xdr:from>
    <xdr:to>
      <xdr:col>3</xdr:col>
      <xdr:colOff>152400</xdr:colOff>
      <xdr:row>125</xdr:row>
      <xdr:rowOff>113800</xdr:rowOff>
    </xdr:to>
    <xdr:pic>
      <xdr:nvPicPr>
        <xdr:cNvPr id="4" name="Picture 3">
          <a:extLst>
            <a:ext uri="{FF2B5EF4-FFF2-40B4-BE49-F238E27FC236}">
              <a16:creationId xmlns:a16="http://schemas.microsoft.com/office/drawing/2014/main" id="{DDD19B90-0765-409E-AAC8-BCFC80BAA38C}"/>
            </a:ext>
          </a:extLst>
        </xdr:cNvPr>
        <xdr:cNvPicPr>
          <a:picLocks noChangeAspect="1"/>
        </xdr:cNvPicPr>
      </xdr:nvPicPr>
      <xdr:blipFill>
        <a:blip xmlns:r="http://schemas.openxmlformats.org/officeDocument/2006/relationships" r:embed="rId5"/>
        <a:stretch>
          <a:fillRect/>
        </a:stretch>
      </xdr:blipFill>
      <xdr:spPr>
        <a:xfrm>
          <a:off x="66675" y="20957937"/>
          <a:ext cx="2228850" cy="1930138"/>
        </a:xfrm>
        <a:prstGeom prst="rect">
          <a:avLst/>
        </a:prstGeom>
      </xdr:spPr>
    </xdr:pic>
    <xdr:clientData/>
  </xdr:twoCellAnchor>
  <xdr:twoCellAnchor editAs="oneCell">
    <xdr:from>
      <xdr:col>0</xdr:col>
      <xdr:colOff>19049</xdr:colOff>
      <xdr:row>94</xdr:row>
      <xdr:rowOff>66767</xdr:rowOff>
    </xdr:from>
    <xdr:to>
      <xdr:col>3</xdr:col>
      <xdr:colOff>200025</xdr:colOff>
      <xdr:row>105</xdr:row>
      <xdr:rowOff>80278</xdr:rowOff>
    </xdr:to>
    <xdr:pic>
      <xdr:nvPicPr>
        <xdr:cNvPr id="7" name="Picture 6">
          <a:extLst>
            <a:ext uri="{FF2B5EF4-FFF2-40B4-BE49-F238E27FC236}">
              <a16:creationId xmlns:a16="http://schemas.microsoft.com/office/drawing/2014/main" id="{F503A6C5-549D-41E4-99DA-21AF303C3D0E}"/>
            </a:ext>
          </a:extLst>
        </xdr:cNvPr>
        <xdr:cNvPicPr>
          <a:picLocks noChangeAspect="1"/>
        </xdr:cNvPicPr>
      </xdr:nvPicPr>
      <xdr:blipFill>
        <a:blip xmlns:r="http://schemas.openxmlformats.org/officeDocument/2006/relationships" r:embed="rId6"/>
        <a:stretch>
          <a:fillRect/>
        </a:stretch>
      </xdr:blipFill>
      <xdr:spPr>
        <a:xfrm>
          <a:off x="19049" y="10496642"/>
          <a:ext cx="2324101" cy="18994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481693</xdr:colOff>
      <xdr:row>0</xdr:row>
      <xdr:rowOff>81643</xdr:rowOff>
    </xdr:from>
    <xdr:to>
      <xdr:col>12</xdr:col>
      <xdr:colOff>634093</xdr:colOff>
      <xdr:row>5</xdr:row>
      <xdr:rowOff>138793</xdr:rowOff>
    </xdr:to>
    <xdr:pic>
      <xdr:nvPicPr>
        <xdr:cNvPr id="4" name="Grafik 3">
          <a:extLst>
            <a:ext uri="{FF2B5EF4-FFF2-40B4-BE49-F238E27FC236}">
              <a16:creationId xmlns:a16="http://schemas.microsoft.com/office/drawing/2014/main" id="{EAFB6FF5-76D7-4B56-A266-322447826F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8243" y="81643"/>
          <a:ext cx="9144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920AF-1B28-4C06-AB02-A909F7C24649}">
  <sheetPr>
    <pageSetUpPr fitToPage="1"/>
  </sheetPr>
  <dimension ref="A1:O45"/>
  <sheetViews>
    <sheetView zoomScaleNormal="100" workbookViewId="0">
      <selection activeCell="C22" sqref="C22"/>
    </sheetView>
  </sheetViews>
  <sheetFormatPr defaultColWidth="11.42578125" defaultRowHeight="13.5"/>
  <cols>
    <col min="1" max="1" width="11.5703125" style="7" customWidth="1"/>
    <col min="2" max="2" width="12.42578125" style="7" customWidth="1"/>
    <col min="3" max="11" width="8.42578125" style="7" customWidth="1"/>
    <col min="12" max="16384" width="11.42578125" style="7"/>
  </cols>
  <sheetData>
    <row r="1" spans="1:11">
      <c r="A1" s="53" t="s">
        <v>0</v>
      </c>
      <c r="B1" s="54"/>
      <c r="C1" s="54"/>
      <c r="D1" s="54"/>
      <c r="E1" s="54"/>
      <c r="F1" s="54"/>
      <c r="G1" s="54"/>
      <c r="H1" s="54"/>
      <c r="I1" s="54"/>
      <c r="J1" s="54"/>
      <c r="K1" s="54"/>
    </row>
    <row r="2" spans="1:11">
      <c r="A2" s="54"/>
      <c r="B2" s="54"/>
      <c r="C2" s="54"/>
      <c r="D2" s="54"/>
      <c r="E2" s="54"/>
      <c r="F2" s="54"/>
      <c r="G2" s="54"/>
      <c r="H2" s="54"/>
      <c r="I2" s="54"/>
      <c r="J2" s="54"/>
      <c r="K2" s="54"/>
    </row>
    <row r="3" spans="1:11">
      <c r="A3" s="54" t="s">
        <v>1</v>
      </c>
      <c r="B3" s="59" t="s">
        <v>2</v>
      </c>
      <c r="C3" s="54"/>
      <c r="D3" s="54"/>
      <c r="E3" s="54"/>
      <c r="F3" s="54"/>
      <c r="G3" s="54"/>
      <c r="H3" s="54"/>
      <c r="I3" s="54"/>
      <c r="J3" s="54"/>
      <c r="K3" s="54"/>
    </row>
    <row r="4" spans="1:11">
      <c r="A4" s="54" t="s">
        <v>3</v>
      </c>
      <c r="B4" s="54" t="s">
        <v>4</v>
      </c>
      <c r="C4" s="54"/>
      <c r="D4" s="54"/>
      <c r="E4" s="54"/>
      <c r="F4" s="54"/>
      <c r="G4" s="54"/>
      <c r="H4" s="54"/>
      <c r="I4" s="54"/>
      <c r="J4" s="54"/>
      <c r="K4" s="54"/>
    </row>
    <row r="5" spans="1:11">
      <c r="A5" s="54" t="s">
        <v>5</v>
      </c>
      <c r="B5" s="54" t="s">
        <v>6</v>
      </c>
      <c r="C5" s="54"/>
      <c r="D5" s="54"/>
      <c r="E5" s="54"/>
      <c r="F5" s="54"/>
      <c r="G5" s="54"/>
      <c r="H5" s="54"/>
      <c r="I5" s="54"/>
      <c r="J5" s="54"/>
      <c r="K5" s="54"/>
    </row>
    <row r="6" spans="1:11">
      <c r="A6" s="54"/>
      <c r="B6" s="54"/>
      <c r="C6" s="54"/>
      <c r="D6" s="54"/>
      <c r="E6" s="54"/>
      <c r="F6" s="54"/>
      <c r="G6" s="54"/>
      <c r="H6" s="54"/>
      <c r="I6" s="54"/>
      <c r="J6" s="54"/>
      <c r="K6" s="54"/>
    </row>
    <row r="7" spans="1:11">
      <c r="A7" s="54" t="s">
        <v>7</v>
      </c>
      <c r="B7" s="54"/>
      <c r="C7" s="54"/>
      <c r="D7" s="54"/>
      <c r="E7" s="54"/>
      <c r="F7" s="54"/>
      <c r="G7" s="54"/>
      <c r="H7" s="54"/>
      <c r="I7" s="54"/>
      <c r="J7" s="54"/>
      <c r="K7" s="54"/>
    </row>
    <row r="8" spans="1:11">
      <c r="A8" s="54" t="s">
        <v>8</v>
      </c>
      <c r="B8" s="54" t="s">
        <v>9</v>
      </c>
      <c r="C8" s="54"/>
      <c r="D8" s="54"/>
      <c r="E8" s="54"/>
      <c r="F8" s="54"/>
      <c r="G8" s="54"/>
      <c r="H8" s="54"/>
      <c r="I8" s="54"/>
      <c r="J8" s="54"/>
      <c r="K8" s="54"/>
    </row>
    <row r="9" spans="1:11">
      <c r="A9" s="54"/>
      <c r="B9" s="54"/>
      <c r="C9" s="54"/>
      <c r="D9" s="54"/>
      <c r="E9" s="54"/>
      <c r="F9" s="54"/>
      <c r="G9" s="54"/>
      <c r="H9" s="54"/>
      <c r="I9" s="54"/>
      <c r="J9" s="54"/>
      <c r="K9" s="54"/>
    </row>
    <row r="10" spans="1:11">
      <c r="A10" s="60" t="s">
        <v>10</v>
      </c>
      <c r="B10" s="60"/>
      <c r="C10" s="60"/>
      <c r="D10" s="61" t="s">
        <v>11</v>
      </c>
      <c r="E10" s="54"/>
      <c r="F10" s="54"/>
      <c r="G10" s="54"/>
      <c r="H10" s="54"/>
      <c r="I10" s="54"/>
      <c r="J10" s="54"/>
      <c r="K10" s="54"/>
    </row>
    <row r="11" spans="1:11">
      <c r="A11" s="54" t="s">
        <v>12</v>
      </c>
      <c r="B11" s="54"/>
      <c r="C11" s="62"/>
      <c r="D11" s="52" t="s">
        <v>13</v>
      </c>
      <c r="E11" s="54"/>
      <c r="F11" s="54"/>
      <c r="G11" s="54"/>
      <c r="H11" s="54"/>
      <c r="I11" s="54"/>
      <c r="J11" s="54"/>
      <c r="K11" s="54"/>
    </row>
    <row r="12" spans="1:11">
      <c r="A12" s="54" t="s">
        <v>14</v>
      </c>
      <c r="B12" s="54"/>
      <c r="C12" s="62"/>
      <c r="D12" s="52" t="s">
        <v>15</v>
      </c>
      <c r="E12" s="54"/>
      <c r="F12" s="54"/>
      <c r="G12" s="54"/>
      <c r="H12" s="54"/>
      <c r="I12" s="54"/>
      <c r="J12" s="54"/>
      <c r="K12" s="54"/>
    </row>
    <row r="13" spans="1:11">
      <c r="A13" s="54" t="s">
        <v>16</v>
      </c>
      <c r="B13" s="54"/>
      <c r="C13" s="62"/>
      <c r="D13" s="52" t="s">
        <v>17</v>
      </c>
      <c r="E13" s="54"/>
      <c r="F13" s="54"/>
      <c r="G13" s="54"/>
      <c r="H13" s="54"/>
      <c r="I13" s="54"/>
      <c r="J13" s="54"/>
      <c r="K13" s="54"/>
    </row>
    <row r="14" spans="1:11">
      <c r="A14" s="54" t="s">
        <v>18</v>
      </c>
      <c r="B14" s="54"/>
      <c r="C14" s="62"/>
      <c r="D14" s="52" t="s">
        <v>19</v>
      </c>
      <c r="E14" s="54"/>
      <c r="F14" s="54"/>
      <c r="G14" s="54"/>
      <c r="H14" s="54"/>
      <c r="I14" s="54"/>
      <c r="J14" s="54"/>
      <c r="K14" s="54"/>
    </row>
    <row r="15" spans="1:11">
      <c r="A15" s="54" t="s">
        <v>20</v>
      </c>
      <c r="B15" s="54"/>
      <c r="C15" s="62"/>
      <c r="D15" s="52" t="s">
        <v>21</v>
      </c>
      <c r="E15" s="54"/>
      <c r="F15" s="54"/>
      <c r="G15" s="54"/>
      <c r="H15" s="54"/>
      <c r="I15" s="54"/>
      <c r="J15" s="54"/>
      <c r="K15" s="54"/>
    </row>
    <row r="16" spans="1:11">
      <c r="A16" s="54" t="s">
        <v>22</v>
      </c>
      <c r="B16" s="54"/>
      <c r="C16" s="62"/>
      <c r="D16" s="52" t="s">
        <v>23</v>
      </c>
      <c r="E16" s="54"/>
      <c r="F16" s="54"/>
      <c r="G16" s="54"/>
      <c r="H16" s="54"/>
      <c r="I16" s="54"/>
      <c r="J16" s="54"/>
      <c r="K16" s="54"/>
    </row>
    <row r="17" spans="1:15">
      <c r="A17" s="54" t="s">
        <v>24</v>
      </c>
      <c r="B17" s="54"/>
      <c r="C17" s="62"/>
      <c r="D17" s="52" t="s">
        <v>25</v>
      </c>
      <c r="E17" s="54"/>
      <c r="F17" s="54"/>
      <c r="G17" s="54"/>
      <c r="H17" s="54"/>
      <c r="I17" s="54"/>
      <c r="J17" s="54"/>
      <c r="K17" s="54"/>
    </row>
    <row r="18" spans="1:15">
      <c r="A18" s="54" t="s">
        <v>26</v>
      </c>
      <c r="B18" s="54"/>
      <c r="C18" s="62"/>
      <c r="D18" s="52" t="s">
        <v>27</v>
      </c>
      <c r="E18" s="54"/>
      <c r="F18" s="54"/>
      <c r="G18" s="54"/>
      <c r="H18" s="54"/>
      <c r="I18" s="54"/>
      <c r="J18" s="54"/>
      <c r="K18" s="54"/>
    </row>
    <row r="19" spans="1:15">
      <c r="A19" s="54" t="s">
        <v>28</v>
      </c>
      <c r="B19" s="54"/>
      <c r="C19" s="62"/>
      <c r="D19" s="52" t="s">
        <v>29</v>
      </c>
      <c r="E19" s="54"/>
      <c r="F19" s="54"/>
      <c r="G19" s="54"/>
      <c r="H19" s="54"/>
      <c r="I19" s="54"/>
      <c r="J19" s="54"/>
      <c r="K19" s="54"/>
    </row>
    <row r="20" spans="1:15">
      <c r="A20" s="54"/>
      <c r="B20" s="54"/>
      <c r="C20" s="62"/>
      <c r="D20" s="110"/>
      <c r="E20" s="54"/>
      <c r="F20" s="54"/>
      <c r="G20" s="54"/>
      <c r="H20" s="54"/>
      <c r="I20" s="54"/>
      <c r="J20" s="54"/>
      <c r="K20" s="54"/>
    </row>
    <row r="21" spans="1:15">
      <c r="A21" s="60" t="s">
        <v>30</v>
      </c>
      <c r="B21" s="65"/>
      <c r="C21" s="111" t="s">
        <v>31</v>
      </c>
      <c r="D21" s="63" t="s">
        <v>11</v>
      </c>
      <c r="E21" s="61" t="s">
        <v>32</v>
      </c>
      <c r="F21" s="64"/>
      <c r="G21" s="64"/>
      <c r="H21" s="64"/>
      <c r="I21" s="64"/>
      <c r="J21" s="64"/>
      <c r="K21" s="64"/>
      <c r="L21" s="11"/>
      <c r="M21" s="11"/>
      <c r="N21" s="11"/>
      <c r="O21" s="11"/>
    </row>
    <row r="22" spans="1:15">
      <c r="A22" s="53" t="s">
        <v>33</v>
      </c>
      <c r="B22" s="53"/>
      <c r="C22" s="41">
        <v>50</v>
      </c>
      <c r="D22" s="52" t="s">
        <v>34</v>
      </c>
      <c r="E22" s="52" t="s">
        <v>35</v>
      </c>
      <c r="F22" s="54"/>
      <c r="G22" s="54"/>
      <c r="H22" s="54"/>
      <c r="I22" s="54"/>
      <c r="J22" s="54"/>
      <c r="K22" s="54"/>
    </row>
    <row r="23" spans="1:15" ht="6.75" customHeight="1">
      <c r="A23" s="54"/>
      <c r="B23" s="54"/>
      <c r="C23" s="62"/>
      <c r="D23" s="76"/>
      <c r="E23" s="54"/>
      <c r="F23" s="54"/>
      <c r="G23" s="54"/>
      <c r="H23" s="54"/>
      <c r="I23" s="54"/>
      <c r="J23" s="54"/>
      <c r="K23" s="54"/>
    </row>
    <row r="24" spans="1:15">
      <c r="A24" s="107" t="s">
        <v>36</v>
      </c>
      <c r="B24" s="107"/>
      <c r="C24" s="109" t="s">
        <v>13</v>
      </c>
      <c r="D24" s="64" t="s">
        <v>15</v>
      </c>
      <c r="E24" s="64" t="s">
        <v>17</v>
      </c>
      <c r="F24" s="64" t="s">
        <v>19</v>
      </c>
      <c r="G24" s="64" t="s">
        <v>21</v>
      </c>
      <c r="H24" s="64" t="s">
        <v>23</v>
      </c>
      <c r="I24" s="64" t="s">
        <v>25</v>
      </c>
      <c r="J24" s="64" t="s">
        <v>27</v>
      </c>
      <c r="K24" s="64" t="s">
        <v>29</v>
      </c>
    </row>
    <row r="25" spans="1:15">
      <c r="A25" s="14">
        <v>0.1</v>
      </c>
      <c r="B25" s="52" t="s">
        <v>13</v>
      </c>
      <c r="C25" s="113"/>
      <c r="D25" s="17">
        <f>20*LOG10(A25)</f>
        <v>-20</v>
      </c>
      <c r="E25" s="17">
        <f>20*LOG10(A25/0.000001)</f>
        <v>100</v>
      </c>
      <c r="F25" s="17">
        <f>A25/$C$22</f>
        <v>2E-3</v>
      </c>
      <c r="G25" s="17">
        <f>20*LOG10(F25)</f>
        <v>-53.979400086720375</v>
      </c>
      <c r="H25" s="17">
        <f>20*LOG10(F25/0.000001)</f>
        <v>66.020599913279625</v>
      </c>
      <c r="I25" s="17">
        <f>F25*F25*$C$22</f>
        <v>1.9999999999999998E-4</v>
      </c>
      <c r="J25" s="17">
        <f t="shared" ref="J25:J30" si="0">10*LOG10(I25/0.001)</f>
        <v>-6.9897000433601884</v>
      </c>
      <c r="K25" s="17">
        <f t="shared" ref="K25:K30" si="1">10*LOG10(I25/0.000001)</f>
        <v>23.010299956639813</v>
      </c>
    </row>
    <row r="26" spans="1:15">
      <c r="A26" s="14">
        <v>-20</v>
      </c>
      <c r="B26" s="52" t="s">
        <v>15</v>
      </c>
      <c r="C26" s="114">
        <f>10^(A26/20)</f>
        <v>0.1</v>
      </c>
      <c r="D26" s="16"/>
      <c r="E26" s="17">
        <f>20*LOG10(C26/0.000001)</f>
        <v>100</v>
      </c>
      <c r="F26" s="17">
        <f>C26/$C$22</f>
        <v>2E-3</v>
      </c>
      <c r="G26" s="17">
        <f>20*LOG10(F26)</f>
        <v>-53.979400086720375</v>
      </c>
      <c r="H26" s="17">
        <f>20*LOG10(F26/0.000001)</f>
        <v>66.020599913279625</v>
      </c>
      <c r="I26" s="17">
        <f>F26*F26*$C$22</f>
        <v>1.9999999999999998E-4</v>
      </c>
      <c r="J26" s="17">
        <f t="shared" si="0"/>
        <v>-6.9897000433601884</v>
      </c>
      <c r="K26" s="17">
        <f t="shared" si="1"/>
        <v>23.010299956639813</v>
      </c>
    </row>
    <row r="27" spans="1:15">
      <c r="A27" s="14">
        <v>100</v>
      </c>
      <c r="B27" s="52" t="s">
        <v>17</v>
      </c>
      <c r="C27" s="114">
        <f>10^(A27/20)/1000000</f>
        <v>0.1</v>
      </c>
      <c r="D27" s="17">
        <f>20*LOG10(C27)</f>
        <v>-20</v>
      </c>
      <c r="E27" s="16"/>
      <c r="F27" s="17">
        <f>C27/$C$22</f>
        <v>2E-3</v>
      </c>
      <c r="G27" s="17">
        <f>20*LOG10(F27)</f>
        <v>-53.979400086720375</v>
      </c>
      <c r="H27" s="17">
        <f>20*LOG10(F27/0.000001)</f>
        <v>66.020599913279625</v>
      </c>
      <c r="I27" s="17">
        <f>F27*F27*$C$22</f>
        <v>1.9999999999999998E-4</v>
      </c>
      <c r="J27" s="17">
        <f t="shared" si="0"/>
        <v>-6.9897000433601884</v>
      </c>
      <c r="K27" s="17">
        <f t="shared" si="1"/>
        <v>23.010299956639813</v>
      </c>
      <c r="L27" s="11"/>
      <c r="M27" s="11"/>
      <c r="N27" s="11"/>
      <c r="O27" s="11"/>
    </row>
    <row r="28" spans="1:15">
      <c r="A28" s="14">
        <v>2E-3</v>
      </c>
      <c r="B28" s="52" t="s">
        <v>19</v>
      </c>
      <c r="C28" s="114">
        <f>$C$22*A28</f>
        <v>0.1</v>
      </c>
      <c r="D28" s="17">
        <f>20*LOG10(C28)</f>
        <v>-20</v>
      </c>
      <c r="E28" s="17">
        <f>20*LOG10(C28/0.000001)</f>
        <v>100</v>
      </c>
      <c r="F28" s="16"/>
      <c r="G28" s="17">
        <f>20*LOG10(A28)</f>
        <v>-53.979400086720375</v>
      </c>
      <c r="H28" s="17">
        <f>20*LOG10(A28/0.000001)</f>
        <v>66.020599913279625</v>
      </c>
      <c r="I28" s="17">
        <f>A28*A28*$C$22</f>
        <v>1.9999999999999998E-4</v>
      </c>
      <c r="J28" s="17">
        <f t="shared" si="0"/>
        <v>-6.9897000433601884</v>
      </c>
      <c r="K28" s="17">
        <f t="shared" si="1"/>
        <v>23.010299956639813</v>
      </c>
    </row>
    <row r="29" spans="1:15">
      <c r="A29" s="14">
        <v>-53.979400089999999</v>
      </c>
      <c r="B29" s="52" t="s">
        <v>21</v>
      </c>
      <c r="C29" s="114">
        <f>$C$22*F29</f>
        <v>9.9999999962241876E-2</v>
      </c>
      <c r="D29" s="17">
        <f t="shared" ref="D29:D33" si="2">20*LOG10(C29)</f>
        <v>-20.000000003279631</v>
      </c>
      <c r="E29" s="17">
        <f t="shared" ref="E29:E31" si="3">20*LOG10(C29/0.000001)</f>
        <v>99.999999996720362</v>
      </c>
      <c r="F29" s="17">
        <f>10^(A29/20)</f>
        <v>1.9999999992448376E-3</v>
      </c>
      <c r="G29" s="16"/>
      <c r="H29" s="17">
        <f>20*LOG10(F29/0.000001)</f>
        <v>66.020599910000001</v>
      </c>
      <c r="I29" s="17">
        <f>F29*F29*$C$22</f>
        <v>1.9999999984896753E-4</v>
      </c>
      <c r="J29" s="17">
        <f t="shared" si="0"/>
        <v>-6.9897000466398165</v>
      </c>
      <c r="K29" s="17">
        <f t="shared" si="1"/>
        <v>23.010299953360182</v>
      </c>
    </row>
    <row r="30" spans="1:15">
      <c r="A30" s="14">
        <v>66.020599910000001</v>
      </c>
      <c r="B30" s="52" t="s">
        <v>23</v>
      </c>
      <c r="C30" s="114">
        <f>$C$22*F30</f>
        <v>9.9999999962242014E-2</v>
      </c>
      <c r="D30" s="17">
        <f t="shared" si="2"/>
        <v>-20.000000003279617</v>
      </c>
      <c r="E30" s="17">
        <f t="shared" si="3"/>
        <v>99.999999996720391</v>
      </c>
      <c r="F30" s="17">
        <f>10^(A30/20)/1000000</f>
        <v>1.9999999992448402E-3</v>
      </c>
      <c r="G30" s="17">
        <f>20*LOG10(F30)</f>
        <v>-53.979400089999992</v>
      </c>
      <c r="H30" s="16"/>
      <c r="I30" s="17">
        <f>F30*F30*$C$22</f>
        <v>1.9999999984896804E-4</v>
      </c>
      <c r="J30" s="17">
        <f t="shared" si="0"/>
        <v>-6.9897000466398049</v>
      </c>
      <c r="K30" s="17">
        <f t="shared" si="1"/>
        <v>23.010299953360196</v>
      </c>
    </row>
    <row r="31" spans="1:15">
      <c r="A31" s="14">
        <v>2.0000000000000001E-4</v>
      </c>
      <c r="B31" s="52" t="s">
        <v>25</v>
      </c>
      <c r="C31" s="114">
        <f>A31/F31</f>
        <v>0.1</v>
      </c>
      <c r="D31" s="17">
        <f t="shared" si="2"/>
        <v>-20</v>
      </c>
      <c r="E31" s="17">
        <f t="shared" si="3"/>
        <v>100</v>
      </c>
      <c r="F31" s="17">
        <f>SQRT(A31/$C$22)</f>
        <v>2E-3</v>
      </c>
      <c r="G31" s="17">
        <f>20*LOG10(F31)</f>
        <v>-53.979400086720375</v>
      </c>
      <c r="H31" s="17">
        <f>20*LOG10(F31/0.000001)</f>
        <v>66.020599913279625</v>
      </c>
      <c r="I31" s="16"/>
      <c r="J31" s="17">
        <f>10*LOG10(A31/0.001)</f>
        <v>-6.9897000433601875</v>
      </c>
      <c r="K31" s="17">
        <f>10*LOG10(A31/0.000001)</f>
        <v>23.010299956639813</v>
      </c>
    </row>
    <row r="32" spans="1:15">
      <c r="A32" s="14">
        <v>-6.989700043</v>
      </c>
      <c r="B32" s="52" t="s">
        <v>27</v>
      </c>
      <c r="C32" s="114">
        <f>I32/F32</f>
        <v>0.10000000000414681</v>
      </c>
      <c r="D32" s="17">
        <f t="shared" si="2"/>
        <v>-19.999999999639812</v>
      </c>
      <c r="E32" s="17">
        <f t="shared" ref="E32" si="4">20*LOG10(C32/0.000001)</f>
        <v>100.00000000036019</v>
      </c>
      <c r="F32" s="17">
        <f>SQRT(I32/$C$22)</f>
        <v>2.0000000000829363E-3</v>
      </c>
      <c r="G32" s="17">
        <f>20*LOG10(F32)</f>
        <v>-53.979400086360194</v>
      </c>
      <c r="H32" s="17">
        <f>20*LOG10(F32/0.000001)</f>
        <v>66.020599913639813</v>
      </c>
      <c r="I32" s="17">
        <f>10^(A32/10)/1000</f>
        <v>2.0000000001658725E-4</v>
      </c>
      <c r="J32" s="16"/>
      <c r="K32" s="17">
        <f>10*LOG10(I32/0.000001)</f>
        <v>23.010299957000001</v>
      </c>
    </row>
    <row r="33" spans="1:12">
      <c r="A33" s="14">
        <v>23.010299960000001</v>
      </c>
      <c r="B33" s="52" t="s">
        <v>29</v>
      </c>
      <c r="C33" s="114">
        <f>I33/F33</f>
        <v>0.1000000000386856</v>
      </c>
      <c r="D33" s="17">
        <f t="shared" si="2"/>
        <v>-19.999999996639811</v>
      </c>
      <c r="E33" s="17">
        <f t="shared" ref="E33" si="5">20*LOG10(C33/0.000001)</f>
        <v>100.00000000336019</v>
      </c>
      <c r="F33" s="17">
        <f>SQRT(I33/$C$22)</f>
        <v>2.0000000007737123E-3</v>
      </c>
      <c r="G33" s="17">
        <f>20*LOG10(F33)</f>
        <v>-53.979400083360183</v>
      </c>
      <c r="H33" s="17">
        <f>20*LOG10(F33/0.000001)</f>
        <v>66.02059991663981</v>
      </c>
      <c r="I33" s="17">
        <f>10^(A33/10)/1000000</f>
        <v>2.0000000015474244E-4</v>
      </c>
      <c r="J33" s="17">
        <f>10*LOG10(I33/0.001)</f>
        <v>-6.9897000399999989</v>
      </c>
      <c r="K33" s="16"/>
    </row>
    <row r="34" spans="1:12">
      <c r="A34" s="177"/>
      <c r="B34" s="170"/>
      <c r="C34" s="178"/>
      <c r="D34" s="172"/>
      <c r="E34" s="172"/>
      <c r="F34" s="172"/>
      <c r="G34" s="172"/>
      <c r="H34" s="172"/>
      <c r="I34" s="172"/>
      <c r="J34" s="172"/>
      <c r="K34" s="172"/>
    </row>
    <row r="35" spans="1:12">
      <c r="A35" s="175" t="s">
        <v>213</v>
      </c>
      <c r="B35" s="170"/>
      <c r="C35" s="178"/>
      <c r="D35" s="172"/>
      <c r="E35" s="172"/>
      <c r="F35" s="172"/>
      <c r="G35" s="172"/>
      <c r="H35" s="172"/>
      <c r="I35" s="172"/>
      <c r="J35" s="172"/>
      <c r="K35" s="172"/>
    </row>
    <row r="36" spans="1:12">
      <c r="A36" s="175" t="s">
        <v>216</v>
      </c>
      <c r="B36" s="170"/>
      <c r="C36" s="178"/>
      <c r="D36" s="172"/>
      <c r="E36" s="172"/>
      <c r="F36" s="172"/>
      <c r="G36" s="172"/>
      <c r="H36" s="172"/>
      <c r="I36" s="172"/>
      <c r="J36" s="172"/>
      <c r="K36" s="172"/>
    </row>
    <row r="37" spans="1:12" s="15" customFormat="1">
      <c r="A37" s="72"/>
      <c r="B37" s="76"/>
      <c r="C37" s="72"/>
      <c r="D37" s="72"/>
      <c r="E37" s="72"/>
      <c r="F37" s="72"/>
      <c r="G37" s="72"/>
      <c r="H37" s="72"/>
      <c r="I37" s="72"/>
      <c r="J37" s="72"/>
      <c r="K37" s="72"/>
      <c r="L37" s="72"/>
    </row>
    <row r="38" spans="1:12" ht="21.75" customHeight="1">
      <c r="A38" s="219" t="s">
        <v>37</v>
      </c>
      <c r="B38" s="219"/>
      <c r="C38" s="219"/>
      <c r="D38" s="219"/>
      <c r="E38" s="219"/>
      <c r="F38" s="219"/>
      <c r="G38" s="219"/>
      <c r="H38" s="219"/>
      <c r="I38" s="219"/>
      <c r="J38" s="219"/>
      <c r="K38" s="219"/>
      <c r="L38" s="54"/>
    </row>
    <row r="39" spans="1:12">
      <c r="A39" s="54"/>
      <c r="B39" s="54"/>
      <c r="C39" s="54"/>
      <c r="D39" s="54"/>
      <c r="E39" s="54"/>
      <c r="F39" s="54"/>
      <c r="G39" s="54"/>
      <c r="H39" s="54"/>
      <c r="I39" s="54"/>
      <c r="J39" s="54"/>
      <c r="K39" s="54"/>
      <c r="L39" s="54"/>
    </row>
    <row r="40" spans="1:12" ht="13.5" customHeight="1">
      <c r="A40" s="115"/>
      <c r="B40" s="115"/>
      <c r="C40" s="115"/>
      <c r="D40" s="115"/>
      <c r="E40" s="115"/>
      <c r="F40" s="115"/>
      <c r="G40" s="115"/>
      <c r="H40" s="115"/>
      <c r="I40" s="115"/>
      <c r="J40" s="115"/>
      <c r="K40" s="115"/>
      <c r="L40" s="54"/>
    </row>
    <row r="41" spans="1:12">
      <c r="A41" s="115"/>
      <c r="B41" s="115"/>
      <c r="C41" s="115"/>
      <c r="D41" s="115"/>
      <c r="E41" s="115"/>
      <c r="F41" s="115"/>
      <c r="G41" s="115"/>
      <c r="H41" s="115"/>
      <c r="I41" s="115"/>
      <c r="J41" s="115"/>
      <c r="K41" s="115"/>
      <c r="L41" s="54"/>
    </row>
    <row r="42" spans="1:12">
      <c r="A42" s="115"/>
      <c r="B42" s="115"/>
      <c r="C42" s="115"/>
      <c r="D42" s="115"/>
      <c r="E42" s="115"/>
      <c r="F42" s="115"/>
      <c r="G42" s="115"/>
      <c r="H42" s="115"/>
      <c r="I42" s="115"/>
      <c r="J42" s="115"/>
      <c r="K42" s="115"/>
      <c r="L42" s="54"/>
    </row>
    <row r="43" spans="1:12">
      <c r="A43" s="54"/>
      <c r="B43" s="54"/>
      <c r="C43" s="54"/>
      <c r="D43" s="54"/>
      <c r="E43" s="54"/>
      <c r="F43" s="54"/>
      <c r="G43" s="54"/>
      <c r="H43" s="54"/>
      <c r="I43" s="54"/>
      <c r="J43" s="54"/>
      <c r="K43" s="54"/>
      <c r="L43" s="54"/>
    </row>
    <row r="44" spans="1:12">
      <c r="A44" s="54"/>
      <c r="B44" s="54"/>
      <c r="C44" s="54"/>
      <c r="D44" s="54"/>
      <c r="E44" s="54"/>
      <c r="F44" s="54"/>
      <c r="G44" s="54"/>
      <c r="H44" s="54"/>
      <c r="I44" s="54"/>
      <c r="J44" s="54"/>
      <c r="K44" s="54"/>
      <c r="L44" s="54"/>
    </row>
    <row r="45" spans="1:12">
      <c r="A45" s="54"/>
      <c r="B45" s="54"/>
      <c r="C45" s="54"/>
      <c r="D45" s="54"/>
      <c r="E45" s="54"/>
      <c r="F45" s="54"/>
      <c r="G45" s="54"/>
      <c r="H45" s="54"/>
      <c r="I45" s="54"/>
      <c r="J45" s="54"/>
      <c r="K45" s="54"/>
      <c r="L45" s="54"/>
    </row>
  </sheetData>
  <sheetProtection sheet="1" objects="1" scenarios="1"/>
  <mergeCells count="1">
    <mergeCell ref="A38:K38"/>
  </mergeCells>
  <pageMargins left="0.25" right="0.25" top="0.75" bottom="0.75" header="0.3" footer="0.3"/>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FE956-4F54-4725-9BC7-695BB8BCCF59}">
  <dimension ref="A1:O47"/>
  <sheetViews>
    <sheetView topLeftCell="A10" zoomScaleNormal="100" workbookViewId="0">
      <selection activeCell="A43" sqref="A43:O43"/>
    </sheetView>
  </sheetViews>
  <sheetFormatPr defaultColWidth="11.42578125" defaultRowHeight="13.5"/>
  <cols>
    <col min="1" max="1" width="11.28515625" style="7" customWidth="1"/>
    <col min="2" max="2" width="8.42578125" style="7" customWidth="1"/>
    <col min="3" max="15" width="8.42578125" style="6" customWidth="1"/>
    <col min="16" max="16384" width="11.42578125" style="7"/>
  </cols>
  <sheetData>
    <row r="1" spans="1:15">
      <c r="A1" s="53" t="s">
        <v>38</v>
      </c>
      <c r="B1" s="54"/>
      <c r="C1" s="66"/>
      <c r="D1" s="66"/>
      <c r="E1" s="66"/>
      <c r="F1" s="66"/>
      <c r="G1" s="66"/>
      <c r="H1" s="66"/>
      <c r="I1" s="66"/>
      <c r="J1" s="66"/>
      <c r="K1" s="66"/>
      <c r="L1" s="66"/>
      <c r="M1" s="66"/>
      <c r="N1" s="66"/>
      <c r="O1" s="66"/>
    </row>
    <row r="2" spans="1:15" ht="8.25" customHeight="1">
      <c r="A2" s="54"/>
      <c r="B2" s="54"/>
      <c r="C2" s="66"/>
      <c r="D2" s="66"/>
      <c r="E2" s="66"/>
      <c r="F2" s="66"/>
      <c r="G2" s="66"/>
      <c r="H2" s="66"/>
      <c r="I2" s="66"/>
      <c r="J2" s="66"/>
      <c r="K2" s="66"/>
      <c r="L2" s="66"/>
      <c r="M2" s="66"/>
      <c r="N2" s="66"/>
      <c r="O2" s="66"/>
    </row>
    <row r="3" spans="1:15">
      <c r="A3" s="54" t="s">
        <v>1</v>
      </c>
      <c r="B3" s="59" t="s">
        <v>2</v>
      </c>
      <c r="C3" s="66"/>
      <c r="D3" s="66"/>
      <c r="E3" s="66"/>
      <c r="F3" s="66"/>
      <c r="G3" s="66"/>
      <c r="H3" s="66"/>
      <c r="I3" s="66"/>
      <c r="J3" s="66"/>
      <c r="K3" s="66"/>
      <c r="L3" s="66"/>
      <c r="M3" s="66"/>
      <c r="N3" s="66"/>
      <c r="O3" s="66"/>
    </row>
    <row r="4" spans="1:15">
      <c r="A4" s="54" t="s">
        <v>3</v>
      </c>
      <c r="B4" s="54" t="s">
        <v>4</v>
      </c>
      <c r="C4" s="66"/>
      <c r="D4" s="66"/>
      <c r="E4" s="66"/>
      <c r="F4" s="66"/>
      <c r="G4" s="66"/>
      <c r="H4" s="66"/>
      <c r="I4" s="66"/>
      <c r="J4" s="66"/>
      <c r="K4" s="66"/>
      <c r="L4" s="66"/>
      <c r="M4" s="66"/>
      <c r="N4" s="66"/>
      <c r="O4" s="66"/>
    </row>
    <row r="5" spans="1:15">
      <c r="A5" s="54" t="s">
        <v>5</v>
      </c>
      <c r="B5" s="54" t="s">
        <v>39</v>
      </c>
      <c r="C5" s="66"/>
      <c r="D5" s="66"/>
      <c r="E5" s="66"/>
      <c r="F5" s="66"/>
      <c r="G5" s="66"/>
      <c r="H5" s="66"/>
      <c r="I5" s="66"/>
      <c r="J5" s="66"/>
      <c r="K5" s="66"/>
      <c r="L5" s="66"/>
      <c r="M5" s="66"/>
      <c r="N5" s="66"/>
      <c r="O5" s="66"/>
    </row>
    <row r="6" spans="1:15" ht="8.25" customHeight="1">
      <c r="A6" s="54"/>
      <c r="B6" s="54"/>
      <c r="C6" s="66"/>
      <c r="D6" s="66"/>
      <c r="E6" s="66"/>
      <c r="F6" s="66"/>
      <c r="G6" s="66"/>
      <c r="H6" s="66"/>
      <c r="I6" s="66"/>
      <c r="J6" s="66"/>
      <c r="K6" s="66"/>
      <c r="L6" s="66"/>
      <c r="M6" s="66"/>
      <c r="N6" s="66"/>
      <c r="O6" s="66"/>
    </row>
    <row r="7" spans="1:15" ht="13.5" customHeight="1">
      <c r="A7" s="54" t="s">
        <v>40</v>
      </c>
      <c r="B7" s="54"/>
      <c r="C7" s="66"/>
      <c r="D7" s="66"/>
      <c r="E7" s="66"/>
      <c r="F7" s="66"/>
      <c r="G7" s="66"/>
      <c r="H7" s="66"/>
      <c r="I7" s="66"/>
      <c r="J7" s="66"/>
      <c r="K7" s="66"/>
      <c r="L7" s="66"/>
      <c r="M7" s="66"/>
      <c r="N7" s="66"/>
      <c r="O7" s="66"/>
    </row>
    <row r="8" spans="1:15">
      <c r="A8" s="54" t="s">
        <v>41</v>
      </c>
      <c r="B8" s="54"/>
      <c r="C8" s="66"/>
      <c r="D8" s="66"/>
      <c r="E8" s="66"/>
      <c r="F8" s="66"/>
      <c r="G8" s="66"/>
      <c r="H8" s="66"/>
      <c r="I8" s="66"/>
      <c r="J8" s="66"/>
      <c r="K8" s="66"/>
      <c r="L8" s="66"/>
      <c r="M8" s="66"/>
      <c r="N8" s="66"/>
      <c r="O8" s="66"/>
    </row>
    <row r="9" spans="1:15" ht="8.25" customHeight="1">
      <c r="A9" s="67"/>
      <c r="B9" s="67"/>
      <c r="C9" s="68"/>
      <c r="D9" s="68"/>
      <c r="E9" s="66"/>
      <c r="F9" s="68"/>
      <c r="G9" s="68"/>
      <c r="H9" s="68"/>
      <c r="I9" s="68"/>
      <c r="J9" s="68"/>
      <c r="K9" s="66"/>
      <c r="L9" s="66"/>
      <c r="M9" s="66"/>
      <c r="N9" s="66"/>
      <c r="O9" s="66"/>
    </row>
    <row r="10" spans="1:15" s="5" customFormat="1">
      <c r="A10" s="60" t="s">
        <v>10</v>
      </c>
      <c r="B10" s="60"/>
      <c r="C10" s="60"/>
      <c r="D10" s="61" t="s">
        <v>11</v>
      </c>
      <c r="E10" s="62"/>
      <c r="F10" s="60" t="s">
        <v>42</v>
      </c>
      <c r="G10" s="69"/>
      <c r="H10" s="69"/>
      <c r="I10" s="70" t="s">
        <v>31</v>
      </c>
      <c r="J10" s="61" t="s">
        <v>11</v>
      </c>
      <c r="K10" s="62"/>
      <c r="L10" s="62"/>
      <c r="M10" s="62"/>
      <c r="N10" s="62"/>
      <c r="O10" s="62"/>
    </row>
    <row r="11" spans="1:15">
      <c r="A11" s="54" t="s">
        <v>43</v>
      </c>
      <c r="B11" s="54"/>
      <c r="C11" s="62"/>
      <c r="D11" s="52" t="s">
        <v>44</v>
      </c>
      <c r="E11" s="66"/>
      <c r="F11" s="62" t="s">
        <v>45</v>
      </c>
      <c r="G11" s="66"/>
      <c r="H11" s="66"/>
      <c r="I11" s="18">
        <v>299800000</v>
      </c>
      <c r="J11" s="52" t="s">
        <v>46</v>
      </c>
      <c r="K11" s="66"/>
      <c r="L11" s="66"/>
      <c r="M11" s="66"/>
      <c r="N11" s="66"/>
      <c r="O11" s="66"/>
    </row>
    <row r="12" spans="1:15">
      <c r="A12" s="54" t="s">
        <v>47</v>
      </c>
      <c r="B12" s="54"/>
      <c r="C12" s="62"/>
      <c r="D12" s="52" t="s">
        <v>48</v>
      </c>
      <c r="E12" s="66"/>
      <c r="F12" s="62" t="s">
        <v>49</v>
      </c>
      <c r="G12" s="66"/>
      <c r="H12" s="66"/>
      <c r="I12" s="18">
        <v>8.8539999999999992E-12</v>
      </c>
      <c r="J12" s="52" t="s">
        <v>50</v>
      </c>
      <c r="K12" s="66"/>
      <c r="L12" s="66"/>
      <c r="M12" s="66"/>
      <c r="N12" s="66"/>
      <c r="O12" s="66"/>
    </row>
    <row r="13" spans="1:15">
      <c r="A13" s="54" t="s">
        <v>51</v>
      </c>
      <c r="B13" s="54"/>
      <c r="C13" s="62"/>
      <c r="D13" s="52" t="s">
        <v>52</v>
      </c>
      <c r="E13" s="66"/>
      <c r="F13" s="62" t="s">
        <v>53</v>
      </c>
      <c r="G13" s="66"/>
      <c r="H13" s="66"/>
      <c r="I13" s="18">
        <f>4*PI()*0.0000001</f>
        <v>1.2566370614359173E-6</v>
      </c>
      <c r="J13" s="52" t="s">
        <v>54</v>
      </c>
      <c r="K13" s="66"/>
      <c r="L13" s="66"/>
      <c r="M13" s="66"/>
      <c r="N13" s="66"/>
      <c r="O13" s="66"/>
    </row>
    <row r="14" spans="1:15">
      <c r="A14" s="54" t="s">
        <v>55</v>
      </c>
      <c r="B14" s="54"/>
      <c r="C14" s="62"/>
      <c r="D14" s="52" t="s">
        <v>56</v>
      </c>
      <c r="E14" s="66"/>
      <c r="F14" s="66"/>
      <c r="G14" s="66"/>
      <c r="H14" s="66"/>
      <c r="I14" s="66"/>
      <c r="J14" s="66"/>
      <c r="K14" s="66"/>
      <c r="L14" s="66"/>
      <c r="M14" s="66"/>
      <c r="N14" s="66"/>
      <c r="O14" s="66"/>
    </row>
    <row r="15" spans="1:15">
      <c r="A15" s="54" t="s">
        <v>57</v>
      </c>
      <c r="B15" s="54"/>
      <c r="C15" s="62"/>
      <c r="D15" s="52" t="s">
        <v>58</v>
      </c>
      <c r="E15" s="66"/>
      <c r="F15" s="66"/>
      <c r="G15" s="66"/>
      <c r="H15" s="66"/>
      <c r="I15" s="66"/>
      <c r="J15" s="66"/>
      <c r="K15" s="66"/>
      <c r="L15" s="66"/>
      <c r="M15" s="66"/>
      <c r="N15" s="66"/>
      <c r="O15" s="66"/>
    </row>
    <row r="16" spans="1:15">
      <c r="A16" s="54" t="s">
        <v>59</v>
      </c>
      <c r="B16" s="54"/>
      <c r="C16" s="62"/>
      <c r="D16" s="52" t="s">
        <v>60</v>
      </c>
      <c r="E16" s="66"/>
      <c r="F16" s="66"/>
      <c r="G16" s="66"/>
      <c r="H16" s="66"/>
      <c r="I16" s="66"/>
      <c r="J16" s="66"/>
      <c r="K16" s="66"/>
      <c r="L16" s="66"/>
      <c r="M16" s="66"/>
      <c r="N16" s="66"/>
      <c r="O16" s="66"/>
    </row>
    <row r="17" spans="1:15">
      <c r="A17" s="54" t="s">
        <v>61</v>
      </c>
      <c r="B17" s="54"/>
      <c r="C17" s="62"/>
      <c r="D17" s="52" t="s">
        <v>62</v>
      </c>
      <c r="E17" s="66"/>
      <c r="F17" s="66"/>
      <c r="G17" s="66"/>
      <c r="H17" s="66"/>
      <c r="I17" s="66"/>
      <c r="J17" s="66"/>
      <c r="K17" s="66"/>
      <c r="L17" s="66"/>
      <c r="M17" s="66"/>
      <c r="N17" s="66"/>
      <c r="O17" s="66"/>
    </row>
    <row r="18" spans="1:15">
      <c r="A18" s="54" t="s">
        <v>63</v>
      </c>
      <c r="B18" s="54"/>
      <c r="C18" s="62"/>
      <c r="D18" s="52" t="s">
        <v>64</v>
      </c>
      <c r="E18" s="66"/>
      <c r="F18" s="66"/>
      <c r="G18" s="66"/>
      <c r="H18" s="66"/>
      <c r="I18" s="66"/>
      <c r="J18" s="66"/>
      <c r="K18" s="66"/>
      <c r="L18" s="66"/>
      <c r="M18" s="66"/>
      <c r="N18" s="66"/>
      <c r="O18" s="66"/>
    </row>
    <row r="19" spans="1:15" ht="15">
      <c r="A19" s="54" t="s">
        <v>65</v>
      </c>
      <c r="B19" s="54"/>
      <c r="C19" s="62"/>
      <c r="D19" s="52" t="s">
        <v>66</v>
      </c>
      <c r="E19" s="66"/>
      <c r="F19" s="66"/>
      <c r="G19" s="66"/>
      <c r="H19" s="66"/>
      <c r="I19" s="66"/>
      <c r="J19" s="66"/>
      <c r="K19" s="66"/>
      <c r="L19" s="66"/>
      <c r="M19" s="66"/>
      <c r="N19" s="66"/>
      <c r="O19" s="66"/>
    </row>
    <row r="20" spans="1:15" ht="14.25" customHeight="1">
      <c r="A20" s="54" t="s">
        <v>67</v>
      </c>
      <c r="B20" s="54"/>
      <c r="C20" s="62"/>
      <c r="D20" s="52" t="s">
        <v>68</v>
      </c>
      <c r="E20" s="66"/>
      <c r="F20" s="66"/>
      <c r="G20" s="66"/>
      <c r="H20" s="66"/>
      <c r="I20" s="66"/>
      <c r="J20" s="66"/>
      <c r="K20" s="66"/>
      <c r="L20" s="66"/>
      <c r="M20" s="66"/>
      <c r="N20" s="66"/>
      <c r="O20" s="66"/>
    </row>
    <row r="21" spans="1:15" ht="14.25" customHeight="1">
      <c r="A21" s="54" t="s">
        <v>69</v>
      </c>
      <c r="B21" s="54"/>
      <c r="C21" s="62"/>
      <c r="D21" s="52" t="s">
        <v>70</v>
      </c>
      <c r="E21" s="66"/>
      <c r="F21" s="66"/>
      <c r="G21" s="66"/>
      <c r="H21" s="66"/>
      <c r="I21" s="66"/>
      <c r="J21" s="66"/>
      <c r="K21" s="66"/>
      <c r="L21" s="66"/>
      <c r="M21" s="66"/>
      <c r="N21" s="66"/>
      <c r="O21" s="66"/>
    </row>
    <row r="22" spans="1:15" ht="14.25" customHeight="1">
      <c r="A22" s="54" t="s">
        <v>71</v>
      </c>
      <c r="B22" s="54"/>
      <c r="C22" s="62"/>
      <c r="D22" s="52" t="s">
        <v>72</v>
      </c>
      <c r="E22" s="66"/>
      <c r="F22" s="66"/>
      <c r="G22" s="66"/>
      <c r="H22" s="66"/>
      <c r="I22" s="66"/>
      <c r="J22" s="66"/>
      <c r="K22" s="66"/>
      <c r="L22" s="66"/>
      <c r="M22" s="66"/>
      <c r="N22" s="66"/>
      <c r="O22" s="66"/>
    </row>
    <row r="23" spans="1:15" ht="14.25" customHeight="1">
      <c r="A23" s="54"/>
      <c r="B23" s="54"/>
      <c r="C23" s="62"/>
      <c r="D23" s="110"/>
      <c r="E23" s="68"/>
      <c r="F23" s="68"/>
      <c r="G23" s="68"/>
      <c r="H23" s="68"/>
      <c r="I23" s="68"/>
      <c r="J23" s="68"/>
      <c r="K23" s="68"/>
      <c r="L23" s="68"/>
      <c r="M23" s="68"/>
      <c r="N23" s="68"/>
      <c r="O23" s="68"/>
    </row>
    <row r="24" spans="1:15" ht="14.25" customHeight="1">
      <c r="A24" s="60" t="s">
        <v>30</v>
      </c>
      <c r="B24" s="65"/>
      <c r="C24" s="111" t="s">
        <v>31</v>
      </c>
      <c r="D24" s="63" t="s">
        <v>11</v>
      </c>
      <c r="E24" s="61" t="s">
        <v>32</v>
      </c>
      <c r="F24" s="64"/>
      <c r="G24" s="64"/>
      <c r="H24" s="64"/>
      <c r="I24" s="64"/>
      <c r="J24" s="64"/>
      <c r="K24" s="64"/>
      <c r="L24" s="64"/>
      <c r="M24" s="64"/>
      <c r="N24" s="64"/>
      <c r="O24" s="64"/>
    </row>
    <row r="25" spans="1:15" ht="14.25" customHeight="1">
      <c r="A25" s="54" t="s">
        <v>73</v>
      </c>
      <c r="B25" s="53"/>
      <c r="C25" s="41">
        <f>SQRT(I13/I12)</f>
        <v>376.73430918211017</v>
      </c>
      <c r="D25" s="52" t="s">
        <v>34</v>
      </c>
      <c r="E25" s="52" t="s">
        <v>74</v>
      </c>
      <c r="F25" s="66"/>
      <c r="G25" s="66"/>
      <c r="H25" s="66"/>
      <c r="I25" s="66"/>
      <c r="J25" s="66"/>
      <c r="K25" s="66"/>
      <c r="L25" s="66"/>
      <c r="M25" s="66"/>
      <c r="N25" s="66"/>
      <c r="O25" s="66"/>
    </row>
    <row r="26" spans="1:15" ht="6.75" customHeight="1">
      <c r="A26" s="67"/>
      <c r="B26" s="67"/>
      <c r="C26" s="68"/>
      <c r="D26" s="68"/>
      <c r="E26" s="68"/>
      <c r="F26" s="68"/>
      <c r="G26" s="68"/>
      <c r="H26" s="68"/>
      <c r="I26" s="68"/>
      <c r="J26" s="68"/>
      <c r="K26" s="68"/>
      <c r="L26" s="68"/>
      <c r="M26" s="68"/>
      <c r="N26" s="68"/>
      <c r="O26" s="68"/>
    </row>
    <row r="27" spans="1:15" s="8" customFormat="1" ht="15">
      <c r="A27" s="107" t="s">
        <v>36</v>
      </c>
      <c r="B27" s="108"/>
      <c r="C27" s="109" t="s">
        <v>44</v>
      </c>
      <c r="D27" s="64" t="s">
        <v>48</v>
      </c>
      <c r="E27" s="64" t="s">
        <v>52</v>
      </c>
      <c r="F27" s="64" t="s">
        <v>56</v>
      </c>
      <c r="G27" s="64" t="s">
        <v>58</v>
      </c>
      <c r="H27" s="64" t="s">
        <v>75</v>
      </c>
      <c r="I27" s="64" t="s">
        <v>60</v>
      </c>
      <c r="J27" s="64" t="s">
        <v>62</v>
      </c>
      <c r="K27" s="64" t="s">
        <v>64</v>
      </c>
      <c r="L27" s="64" t="s">
        <v>66</v>
      </c>
      <c r="M27" s="64" t="s">
        <v>68</v>
      </c>
      <c r="N27" s="68" t="s">
        <v>70</v>
      </c>
      <c r="O27" s="64" t="s">
        <v>72</v>
      </c>
    </row>
    <row r="28" spans="1:15" s="8" customFormat="1">
      <c r="A28" s="43" t="s">
        <v>76</v>
      </c>
      <c r="B28" s="76" t="s">
        <v>44</v>
      </c>
      <c r="C28" s="12"/>
      <c r="D28" s="2">
        <f>20*LOG10(A28*1000000)</f>
        <v>140</v>
      </c>
      <c r="E28" s="2">
        <f>A28/($C$25)</f>
        <v>2.6543905761357362E-2</v>
      </c>
      <c r="F28" s="2">
        <f>20*LOG10(E28*1000000)</f>
        <v>88.479296536207329</v>
      </c>
      <c r="G28" s="2">
        <f>E28*$I$13</f>
        <v>3.3356055734984033E-8</v>
      </c>
      <c r="H28" s="2">
        <f>G28*1000</f>
        <v>3.3356055734984035E-5</v>
      </c>
      <c r="I28" s="2">
        <f>G28*1000000000000</f>
        <v>33356.055734984031</v>
      </c>
      <c r="J28" s="2">
        <f t="shared" ref="J28:J37" si="0">20*LOG10(I28)</f>
        <v>90.463493816649247</v>
      </c>
      <c r="K28" s="2">
        <f t="shared" ref="K28:K37" si="1">G28*10000</f>
        <v>3.3356055734984032E-4</v>
      </c>
      <c r="L28" s="2">
        <f>A28*E28</f>
        <v>0.26543905761357361</v>
      </c>
      <c r="M28" s="2">
        <f t="shared" ref="M28:M36" si="2">10*LOG10(L28)</f>
        <v>-5.7603517318963355</v>
      </c>
      <c r="N28" s="2">
        <f t="shared" ref="N28:N35" si="3">10*LOG(L28/0.001)</f>
        <v>24.239648268103661</v>
      </c>
      <c r="O28" s="2">
        <f>L28*0.1</f>
        <v>2.6543905761357362E-2</v>
      </c>
    </row>
    <row r="29" spans="1:15" s="8" customFormat="1">
      <c r="A29" s="43" t="s">
        <v>77</v>
      </c>
      <c r="B29" s="76" t="s">
        <v>48</v>
      </c>
      <c r="C29" s="3">
        <f>10^((A29-120)/20)</f>
        <v>10</v>
      </c>
      <c r="D29" s="4"/>
      <c r="E29" s="2">
        <f>C29/$C$25</f>
        <v>2.6543905761357362E-2</v>
      </c>
      <c r="F29" s="2">
        <f>20*LOG10(E29*1000000)</f>
        <v>88.479296536207329</v>
      </c>
      <c r="G29" s="2">
        <f>E29*$I$13</f>
        <v>3.3356055734984033E-8</v>
      </c>
      <c r="H29" s="2">
        <f>G29*1000</f>
        <v>3.3356055734984035E-5</v>
      </c>
      <c r="I29" s="2">
        <f>G29*1000000000000</f>
        <v>33356.055734984031</v>
      </c>
      <c r="J29" s="2">
        <f t="shared" si="0"/>
        <v>90.463493816649247</v>
      </c>
      <c r="K29" s="2">
        <f t="shared" si="1"/>
        <v>3.3356055734984032E-4</v>
      </c>
      <c r="L29" s="2">
        <f>C29*E29</f>
        <v>0.26543905761357361</v>
      </c>
      <c r="M29" s="2">
        <f t="shared" si="2"/>
        <v>-5.7603517318963355</v>
      </c>
      <c r="N29" s="2">
        <f t="shared" si="3"/>
        <v>24.239648268103661</v>
      </c>
      <c r="O29" s="2">
        <f t="shared" ref="O29:O35" si="4">L29*0.1</f>
        <v>2.6543905761357362E-2</v>
      </c>
    </row>
    <row r="30" spans="1:15" s="9" customFormat="1">
      <c r="A30" s="43" t="s">
        <v>78</v>
      </c>
      <c r="B30" s="76" t="s">
        <v>52</v>
      </c>
      <c r="C30" s="3">
        <f>$C$25*A30</f>
        <v>9.9985285656932046</v>
      </c>
      <c r="D30" s="2">
        <f t="shared" ref="D30:D37" si="5">20*LOG10(C30*1000000)</f>
        <v>139.99872183436099</v>
      </c>
      <c r="E30" s="4"/>
      <c r="F30" s="2">
        <f>20*LOG10(A30*1000000)</f>
        <v>88.478018370568336</v>
      </c>
      <c r="G30" s="2">
        <f>A30*$I$13</f>
        <v>3.3351147610509243E-8</v>
      </c>
      <c r="H30" s="2">
        <f>G30*1000</f>
        <v>3.3351147610509244E-5</v>
      </c>
      <c r="I30" s="2">
        <f>G30*1000000000000</f>
        <v>33351.147610509244</v>
      </c>
      <c r="J30" s="2">
        <f t="shared" si="0"/>
        <v>90.462215651010268</v>
      </c>
      <c r="K30" s="2">
        <f t="shared" si="1"/>
        <v>3.3351147610509246E-4</v>
      </c>
      <c r="L30" s="2">
        <f>C30*A30</f>
        <v>0.26536094813349764</v>
      </c>
      <c r="M30" s="2">
        <f t="shared" si="2"/>
        <v>-5.7616298975353297</v>
      </c>
      <c r="N30" s="2">
        <f t="shared" si="3"/>
        <v>24.238370102464671</v>
      </c>
      <c r="O30" s="2">
        <f t="shared" si="4"/>
        <v>2.6536094813349766E-2</v>
      </c>
    </row>
    <row r="31" spans="1:15" s="8" customFormat="1">
      <c r="A31" s="43" t="s">
        <v>79</v>
      </c>
      <c r="B31" s="76" t="s">
        <v>56</v>
      </c>
      <c r="C31" s="3">
        <f t="shared" ref="C31:C37" si="6">$C$25*E31</f>
        <v>10.000003987839468</v>
      </c>
      <c r="D31" s="2">
        <f t="shared" si="5"/>
        <v>140.00000346379267</v>
      </c>
      <c r="E31" s="2">
        <f>10^((A31-120)/20)</f>
        <v>2.6543916346640866E-2</v>
      </c>
      <c r="F31" s="4"/>
      <c r="G31" s="2">
        <f>E31*$I$13</f>
        <v>3.3356069036843587E-8</v>
      </c>
      <c r="H31" s="2">
        <f>G31*1000</f>
        <v>3.3356069036843588E-5</v>
      </c>
      <c r="I31" s="2">
        <f>G31*1000000000000</f>
        <v>33356.06903684359</v>
      </c>
      <c r="J31" s="2">
        <f t="shared" si="0"/>
        <v>90.463497280441914</v>
      </c>
      <c r="K31" s="2">
        <f t="shared" si="1"/>
        <v>3.3356069036843586E-4</v>
      </c>
      <c r="L31" s="2">
        <f t="shared" ref="L31:L36" si="7">C31*E31</f>
        <v>0.26543926931928591</v>
      </c>
      <c r="M31" s="2">
        <f>10*LOG10(L31)</f>
        <v>-5.7603482681036748</v>
      </c>
      <c r="N31" s="2">
        <f t="shared" si="3"/>
        <v>24.239651731896323</v>
      </c>
      <c r="O31" s="2">
        <f t="shared" si="4"/>
        <v>2.6543926931928592E-2</v>
      </c>
    </row>
    <row r="32" spans="1:15" s="8" customFormat="1">
      <c r="A32" s="43">
        <v>3.3355999999999998E-8</v>
      </c>
      <c r="B32" s="76" t="s">
        <v>58</v>
      </c>
      <c r="C32" s="3">
        <f t="shared" si="6"/>
        <v>9.9999832908949209</v>
      </c>
      <c r="D32" s="2">
        <f t="shared" si="5"/>
        <v>139.9999854866436</v>
      </c>
      <c r="E32" s="2">
        <f>A32/$I$13</f>
        <v>2.6543861408866304E-2</v>
      </c>
      <c r="F32" s="2">
        <f t="shared" ref="F32:F40" si="8">20*LOG10(E32*1000000)</f>
        <v>88.479282022850924</v>
      </c>
      <c r="G32" s="4"/>
      <c r="H32" s="2">
        <f>A32*1000</f>
        <v>3.3355999999999997E-5</v>
      </c>
      <c r="I32" s="2">
        <f>A32*1000000000000</f>
        <v>33356</v>
      </c>
      <c r="J32" s="2">
        <f t="shared" si="0"/>
        <v>90.463479303292871</v>
      </c>
      <c r="K32" s="2">
        <f>A32*10000</f>
        <v>3.3356E-4</v>
      </c>
      <c r="L32" s="2">
        <f t="shared" si="7"/>
        <v>0.26543817056449354</v>
      </c>
      <c r="M32" s="2">
        <f t="shared" si="2"/>
        <v>-5.7603662452527278</v>
      </c>
      <c r="N32" s="2">
        <f t="shared" si="3"/>
        <v>24.23963375474727</v>
      </c>
      <c r="O32" s="2">
        <f t="shared" si="4"/>
        <v>2.6543817056449356E-2</v>
      </c>
    </row>
    <row r="33" spans="1:15" s="8" customFormat="1">
      <c r="A33" s="43">
        <v>3.3355999999999997E-5</v>
      </c>
      <c r="B33" s="76" t="s">
        <v>75</v>
      </c>
      <c r="C33" s="3">
        <f t="shared" si="6"/>
        <v>9.9999832908949209</v>
      </c>
      <c r="D33" s="2">
        <f t="shared" si="5"/>
        <v>139.9999854866436</v>
      </c>
      <c r="E33" s="2">
        <f>A33/1000/$I$13</f>
        <v>2.6543861408866304E-2</v>
      </c>
      <c r="F33" s="2">
        <f t="shared" si="8"/>
        <v>88.479282022850924</v>
      </c>
      <c r="G33" s="2">
        <f>A33/1000</f>
        <v>3.3355999999999998E-8</v>
      </c>
      <c r="H33" s="4"/>
      <c r="I33" s="2">
        <f>G33*1000000000000</f>
        <v>33356</v>
      </c>
      <c r="J33" s="2">
        <f t="shared" si="0"/>
        <v>90.463479303292871</v>
      </c>
      <c r="K33" s="2">
        <f t="shared" si="1"/>
        <v>3.3356E-4</v>
      </c>
      <c r="L33" s="2">
        <f t="shared" si="7"/>
        <v>0.26543817056449354</v>
      </c>
      <c r="M33" s="2">
        <f t="shared" si="2"/>
        <v>-5.7603662452527278</v>
      </c>
      <c r="N33" s="2">
        <f t="shared" si="3"/>
        <v>24.23963375474727</v>
      </c>
      <c r="O33" s="2">
        <f t="shared" si="4"/>
        <v>2.6543817056449356E-2</v>
      </c>
    </row>
    <row r="34" spans="1:15" s="8" customFormat="1">
      <c r="A34" s="43">
        <v>33356</v>
      </c>
      <c r="B34" s="76" t="s">
        <v>60</v>
      </c>
      <c r="C34" s="3">
        <f t="shared" si="6"/>
        <v>9.9999832908949209</v>
      </c>
      <c r="D34" s="2">
        <f t="shared" si="5"/>
        <v>139.9999854866436</v>
      </c>
      <c r="E34" s="2">
        <f>G34/$I$13</f>
        <v>2.6543861408866304E-2</v>
      </c>
      <c r="F34" s="2">
        <f t="shared" si="8"/>
        <v>88.479282022850924</v>
      </c>
      <c r="G34" s="2">
        <f>A34/1000000000000</f>
        <v>3.3355999999999998E-8</v>
      </c>
      <c r="H34" s="2">
        <f>A34/1000000000</f>
        <v>3.3355999999999997E-5</v>
      </c>
      <c r="I34" s="4"/>
      <c r="J34" s="2">
        <f>20*LOG10(A34)</f>
        <v>90.463479303292871</v>
      </c>
      <c r="K34" s="2">
        <f>G34*10000</f>
        <v>3.3356E-4</v>
      </c>
      <c r="L34" s="2">
        <f t="shared" si="7"/>
        <v>0.26543817056449354</v>
      </c>
      <c r="M34" s="2">
        <f>10*LOG10(L34)</f>
        <v>-5.7603662452527278</v>
      </c>
      <c r="N34" s="2">
        <f t="shared" si="3"/>
        <v>24.23963375474727</v>
      </c>
      <c r="O34" s="2">
        <f t="shared" si="4"/>
        <v>2.6543817056449356E-2</v>
      </c>
    </row>
    <row r="35" spans="1:15" s="8" customFormat="1">
      <c r="A35" s="43" t="s">
        <v>80</v>
      </c>
      <c r="B35" s="76" t="s">
        <v>62</v>
      </c>
      <c r="C35" s="3">
        <f t="shared" si="6"/>
        <v>10.000007118848181</v>
      </c>
      <c r="D35" s="2">
        <f t="shared" si="5"/>
        <v>140.00000618335076</v>
      </c>
      <c r="E35" s="2">
        <f>G35/$I$13</f>
        <v>2.6543924657560888E-2</v>
      </c>
      <c r="F35" s="2">
        <f t="shared" si="8"/>
        <v>88.479302719558092</v>
      </c>
      <c r="G35" s="2">
        <f>H35/1000</f>
        <v>3.3356079480653703E-8</v>
      </c>
      <c r="H35" s="2">
        <f>I35/1000000000</f>
        <v>3.3356079480653704E-5</v>
      </c>
      <c r="I35" s="2">
        <f>10^(A35/20)</f>
        <v>33356.079480653701</v>
      </c>
      <c r="J35" s="4"/>
      <c r="K35" s="2">
        <f>G35*10000</f>
        <v>3.3356079480653704E-4</v>
      </c>
      <c r="L35" s="2">
        <f t="shared" si="7"/>
        <v>0.26543943553777866</v>
      </c>
      <c r="M35" s="2">
        <f>10*LOG10(L35)</f>
        <v>-5.7603455485455708</v>
      </c>
      <c r="N35" s="2">
        <f t="shared" si="3"/>
        <v>24.239654451454427</v>
      </c>
      <c r="O35" s="2">
        <f t="shared" si="4"/>
        <v>2.6543943553777868E-2</v>
      </c>
    </row>
    <row r="36" spans="1:15" s="8" customFormat="1">
      <c r="A36" s="43" t="s">
        <v>81</v>
      </c>
      <c r="B36" s="76" t="s">
        <v>64</v>
      </c>
      <c r="C36" s="3">
        <f t="shared" si="6"/>
        <v>10.013174298953421</v>
      </c>
      <c r="D36" s="2">
        <f t="shared" si="5"/>
        <v>140.01143551958205</v>
      </c>
      <c r="E36" s="2">
        <f>G36/$I$13</f>
        <v>2.6578875496346521E-2</v>
      </c>
      <c r="F36" s="2">
        <f t="shared" si="8"/>
        <v>88.490732055789351</v>
      </c>
      <c r="G36" s="2">
        <f>A36/10000</f>
        <v>3.3400000000000001E-8</v>
      </c>
      <c r="H36" s="2">
        <f>G36*1000</f>
        <v>3.3399999999999999E-5</v>
      </c>
      <c r="I36" s="2">
        <f>G36*1000000000000</f>
        <v>33400</v>
      </c>
      <c r="J36" s="2">
        <f t="shared" si="0"/>
        <v>90.474929336231298</v>
      </c>
      <c r="K36" s="4"/>
      <c r="L36" s="2">
        <f t="shared" si="7"/>
        <v>0.26613891301509984</v>
      </c>
      <c r="M36" s="2">
        <f t="shared" si="2"/>
        <v>-5.7489162123142998</v>
      </c>
      <c r="N36" s="2">
        <f>10*LOG(L36/0.001)</f>
        <v>24.251083787685701</v>
      </c>
      <c r="O36" s="2">
        <f t="shared" ref="O36" si="9">L36*0.1</f>
        <v>2.6613891301509984E-2</v>
      </c>
    </row>
    <row r="37" spans="1:15" s="8" customFormat="1" ht="15">
      <c r="A37" s="43" t="s">
        <v>82</v>
      </c>
      <c r="B37" s="76" t="s">
        <v>66</v>
      </c>
      <c r="C37" s="3">
        <f t="shared" si="6"/>
        <v>10.000017751449212</v>
      </c>
      <c r="D37" s="2">
        <f t="shared" si="5"/>
        <v>140.00001541869918</v>
      </c>
      <c r="E37" s="2">
        <f>SQRT(A37/$C$25)</f>
        <v>2.6543952880636861E-2</v>
      </c>
      <c r="F37" s="2">
        <f t="shared" si="8"/>
        <v>88.479311954906521</v>
      </c>
      <c r="G37" s="2">
        <f>E37*$I$13</f>
        <v>3.3356114946816957E-8</v>
      </c>
      <c r="H37" s="2">
        <f>G37*1000</f>
        <v>3.3356114946816954E-5</v>
      </c>
      <c r="I37" s="2">
        <f>G37*1000000000000</f>
        <v>33356.114946816953</v>
      </c>
      <c r="J37" s="2">
        <f t="shared" si="0"/>
        <v>90.46350923534844</v>
      </c>
      <c r="K37" s="2">
        <f t="shared" si="1"/>
        <v>3.3356114946816957E-4</v>
      </c>
      <c r="L37" s="4"/>
      <c r="M37" s="2">
        <f>10*LOG10(A37)</f>
        <v>-5.7603363131971452</v>
      </c>
      <c r="N37" s="2">
        <f>10*LOG(A37/0.001)</f>
        <v>24.239663686802857</v>
      </c>
      <c r="O37" s="2">
        <f>A37*0.1</f>
        <v>2.6544000000000002E-2</v>
      </c>
    </row>
    <row r="38" spans="1:15" s="8" customFormat="1" ht="15">
      <c r="A38" s="43" t="s">
        <v>83</v>
      </c>
      <c r="B38" s="76" t="s">
        <v>68</v>
      </c>
      <c r="C38" s="3">
        <f>$C$25*E38</f>
        <v>10.00000199391954</v>
      </c>
      <c r="D38" s="2">
        <f>20*LOG10(C38*1000000)</f>
        <v>140.00000173189633</v>
      </c>
      <c r="E38" s="2">
        <f>SQRT(L38/$C$25)</f>
        <v>2.6543911053998601E-2</v>
      </c>
      <c r="F38" s="2">
        <f t="shared" si="8"/>
        <v>88.479298268103662</v>
      </c>
      <c r="G38" s="2">
        <f>E38*$I$13</f>
        <v>3.3356062385913165E-8</v>
      </c>
      <c r="H38" s="2">
        <f>G38*1000</f>
        <v>3.3356062385913164E-5</v>
      </c>
      <c r="I38" s="2">
        <f>G38*1000000000000</f>
        <v>33356.062385913167</v>
      </c>
      <c r="J38" s="2">
        <f>20*LOG10(I38)</f>
        <v>90.463495548545581</v>
      </c>
      <c r="K38" s="2">
        <f>G38*10000</f>
        <v>3.3356062385913167E-4</v>
      </c>
      <c r="L38" s="2">
        <f>10^(A38/10)</f>
        <v>0.26543916346640894</v>
      </c>
      <c r="M38" s="4"/>
      <c r="N38" s="2">
        <f>10*LOG(L38/0.001)</f>
        <v>24.239649999999997</v>
      </c>
      <c r="O38" s="2">
        <f>L38*0.1</f>
        <v>2.6543916346640897E-2</v>
      </c>
    </row>
    <row r="39" spans="1:15" s="8" customFormat="1" ht="15">
      <c r="A39" s="43" t="s">
        <v>84</v>
      </c>
      <c r="B39" s="76" t="s">
        <v>70</v>
      </c>
      <c r="C39" s="3">
        <f t="shared" ref="C39:C40" si="10">$C$25*E39</f>
        <v>9.9999444294464279</v>
      </c>
      <c r="D39" s="2">
        <f t="shared" ref="D39:D40" si="11">20*LOG10(C39*1000000)</f>
        <v>139.99995173189635</v>
      </c>
      <c r="E39" s="2">
        <f t="shared" ref="E39:E40" si="12">SQRT(L39/$C$25)</f>
        <v>2.654375825540365E-2</v>
      </c>
      <c r="F39" s="2">
        <f t="shared" si="8"/>
        <v>88.479248268103674</v>
      </c>
      <c r="G39" s="2">
        <f t="shared" ref="G39:G40" si="13">E39*$I$13</f>
        <v>3.3355870373535815E-8</v>
      </c>
      <c r="H39" s="2">
        <f t="shared" ref="H39:H40" si="14">G39*1000</f>
        <v>3.3355870373535812E-5</v>
      </c>
      <c r="I39" s="2">
        <f t="shared" ref="I39:I40" si="15">G39*1000000000000</f>
        <v>33355.870373535814</v>
      </c>
      <c r="J39" s="2">
        <f t="shared" ref="J39:J40" si="16">20*LOG10(I39)</f>
        <v>90.463445548545593</v>
      </c>
      <c r="K39" s="2">
        <f t="shared" ref="K39:K40" si="17">G39*10000</f>
        <v>3.3355870373535815E-4</v>
      </c>
      <c r="L39" s="2">
        <f>10^(A39/10)/1000</f>
        <v>0.26543610750269636</v>
      </c>
      <c r="M39" s="2">
        <f>10*LOG10(L39)</f>
        <v>-5.7603999999999953</v>
      </c>
      <c r="N39" s="4"/>
      <c r="O39" s="2">
        <f t="shared" ref="O39" si="18">L39*0.1</f>
        <v>2.6543610750269637E-2</v>
      </c>
    </row>
    <row r="40" spans="1:15" s="8" customFormat="1" ht="15">
      <c r="A40" s="43" t="s">
        <v>85</v>
      </c>
      <c r="B40" s="76" t="s">
        <v>72</v>
      </c>
      <c r="C40" s="3">
        <f t="shared" si="10"/>
        <v>10.000017751449212</v>
      </c>
      <c r="D40" s="2">
        <f t="shared" si="11"/>
        <v>140.00001541869918</v>
      </c>
      <c r="E40" s="2">
        <f t="shared" si="12"/>
        <v>2.6543952880636861E-2</v>
      </c>
      <c r="F40" s="2">
        <f t="shared" si="8"/>
        <v>88.479311954906521</v>
      </c>
      <c r="G40" s="2">
        <f t="shared" si="13"/>
        <v>3.3356114946816957E-8</v>
      </c>
      <c r="H40" s="2">
        <f t="shared" si="14"/>
        <v>3.3356114946816954E-5</v>
      </c>
      <c r="I40" s="2">
        <f t="shared" si="15"/>
        <v>33356.114946816953</v>
      </c>
      <c r="J40" s="2">
        <f t="shared" si="16"/>
        <v>90.46350923534844</v>
      </c>
      <c r="K40" s="2">
        <f t="shared" si="17"/>
        <v>3.3356114946816957E-4</v>
      </c>
      <c r="L40" s="2">
        <f>A40*10</f>
        <v>0.26544000000000001</v>
      </c>
      <c r="M40" s="2">
        <f>10*LOG10(L40)</f>
        <v>-5.7603363131971452</v>
      </c>
      <c r="N40" s="2">
        <f t="shared" ref="N40" si="19">10*LOG(L40/0.001)</f>
        <v>24.239663686802857</v>
      </c>
      <c r="O40" s="4"/>
    </row>
    <row r="41" spans="1:15" s="8" customFormat="1">
      <c r="A41" s="179"/>
      <c r="B41" s="170"/>
      <c r="C41" s="180"/>
      <c r="D41" s="176"/>
      <c r="E41" s="176"/>
      <c r="F41" s="176"/>
      <c r="G41" s="176"/>
      <c r="H41" s="176"/>
      <c r="I41" s="176"/>
      <c r="J41" s="176"/>
      <c r="K41" s="176"/>
      <c r="L41" s="176"/>
      <c r="M41" s="176"/>
      <c r="N41" s="176"/>
      <c r="O41" s="176"/>
    </row>
    <row r="42" spans="1:15" s="8" customFormat="1">
      <c r="A42" s="181" t="s">
        <v>214</v>
      </c>
      <c r="B42" s="170"/>
      <c r="C42" s="180"/>
      <c r="D42" s="176"/>
      <c r="E42" s="176"/>
      <c r="F42" s="176"/>
      <c r="G42" s="176"/>
      <c r="H42" s="176"/>
      <c r="I42" s="176"/>
      <c r="J42" s="176"/>
      <c r="K42" s="176"/>
      <c r="L42" s="176"/>
      <c r="M42" s="176"/>
      <c r="N42" s="176"/>
      <c r="O42" s="176"/>
    </row>
    <row r="43" spans="1:15" s="8" customFormat="1">
      <c r="A43" s="221" t="s">
        <v>215</v>
      </c>
      <c r="B43" s="221"/>
      <c r="C43" s="221"/>
      <c r="D43" s="221"/>
      <c r="E43" s="221"/>
      <c r="F43" s="221"/>
      <c r="G43" s="221"/>
      <c r="H43" s="221"/>
      <c r="I43" s="221"/>
      <c r="J43" s="221"/>
      <c r="K43" s="221"/>
      <c r="L43" s="221"/>
      <c r="M43" s="221"/>
      <c r="N43" s="221"/>
      <c r="O43" s="221"/>
    </row>
    <row r="44" spans="1:15">
      <c r="A44" s="54"/>
      <c r="B44" s="54"/>
      <c r="C44" s="66"/>
      <c r="D44" s="66"/>
      <c r="E44" s="66"/>
      <c r="F44" s="66"/>
      <c r="G44" s="66"/>
      <c r="H44" s="66"/>
      <c r="I44" s="66"/>
      <c r="J44" s="66"/>
      <c r="K44" s="66"/>
      <c r="L44" s="66"/>
      <c r="M44" s="66"/>
      <c r="N44" s="66"/>
      <c r="O44" s="66"/>
    </row>
    <row r="45" spans="1:15" ht="22.5" customHeight="1">
      <c r="A45" s="220" t="s">
        <v>37</v>
      </c>
      <c r="B45" s="220"/>
      <c r="C45" s="220"/>
      <c r="D45" s="220"/>
      <c r="E45" s="220"/>
      <c r="F45" s="220"/>
      <c r="G45" s="220"/>
      <c r="H45" s="220"/>
      <c r="I45" s="220"/>
      <c r="J45" s="220"/>
      <c r="K45" s="220"/>
      <c r="L45" s="220"/>
      <c r="M45" s="220"/>
      <c r="N45" s="220"/>
      <c r="O45" s="220"/>
    </row>
    <row r="46" spans="1:15">
      <c r="A46" s="112"/>
      <c r="B46" s="112"/>
      <c r="C46" s="112"/>
      <c r="D46" s="112"/>
      <c r="E46" s="112"/>
      <c r="F46" s="112"/>
      <c r="G46" s="112"/>
      <c r="H46" s="112"/>
      <c r="I46" s="112"/>
      <c r="J46" s="112"/>
      <c r="K46" s="112"/>
      <c r="L46" s="112"/>
      <c r="M46" s="112"/>
      <c r="N46" s="112"/>
      <c r="O46" s="112"/>
    </row>
    <row r="47" spans="1:15" ht="13.5" customHeight="1">
      <c r="A47" s="112"/>
      <c r="B47" s="112"/>
      <c r="C47" s="112"/>
      <c r="D47" s="112"/>
      <c r="E47" s="112"/>
      <c r="F47" s="112"/>
      <c r="G47" s="112"/>
      <c r="H47" s="112"/>
      <c r="I47" s="112"/>
      <c r="J47" s="112"/>
      <c r="K47" s="112"/>
      <c r="L47" s="112"/>
      <c r="M47" s="112"/>
      <c r="N47" s="112"/>
      <c r="O47" s="112"/>
    </row>
  </sheetData>
  <sheetProtection sheet="1" objects="1" scenarios="1"/>
  <mergeCells count="2">
    <mergeCell ref="A45:O45"/>
    <mergeCell ref="A43:O43"/>
  </mergeCells>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6F549-47ED-48E6-85A9-90E25FAF70D7}">
  <sheetPr>
    <pageSetUpPr fitToPage="1"/>
  </sheetPr>
  <dimension ref="A1:M1293"/>
  <sheetViews>
    <sheetView topLeftCell="A46" zoomScaleNormal="100" workbookViewId="0">
      <selection activeCell="R35" sqref="R35"/>
    </sheetView>
  </sheetViews>
  <sheetFormatPr defaultColWidth="11.42578125" defaultRowHeight="12"/>
  <cols>
    <col min="1" max="3" width="10.140625" style="10" customWidth="1"/>
    <col min="4" max="5" width="14.7109375" style="10" customWidth="1"/>
    <col min="6" max="6" width="14.7109375" style="26" customWidth="1"/>
    <col min="7" max="9" width="10.28515625" style="10" customWidth="1"/>
    <col min="10" max="16384" width="11.42578125" style="10"/>
  </cols>
  <sheetData>
    <row r="1" spans="1:10" ht="13.5">
      <c r="A1" s="53" t="s">
        <v>86</v>
      </c>
      <c r="B1" s="54"/>
      <c r="C1" s="54"/>
      <c r="D1" s="54"/>
      <c r="E1" s="54"/>
      <c r="F1" s="17"/>
      <c r="G1" s="54"/>
      <c r="H1" s="51"/>
      <c r="I1" s="51"/>
      <c r="J1" s="51"/>
    </row>
    <row r="2" spans="1:10" ht="13.5">
      <c r="A2" s="54"/>
      <c r="B2" s="54"/>
      <c r="C2" s="54"/>
      <c r="D2" s="54"/>
      <c r="E2" s="54"/>
      <c r="F2" s="17"/>
      <c r="G2" s="54"/>
      <c r="H2" s="51"/>
      <c r="I2" s="51"/>
      <c r="J2" s="51"/>
    </row>
    <row r="3" spans="1:10" ht="13.5">
      <c r="A3" s="54" t="s">
        <v>1</v>
      </c>
      <c r="B3" s="59" t="s">
        <v>2</v>
      </c>
      <c r="C3" s="54"/>
      <c r="D3" s="54"/>
      <c r="E3" s="54"/>
      <c r="F3" s="17"/>
      <c r="G3" s="54"/>
      <c r="H3" s="51"/>
      <c r="I3" s="51"/>
      <c r="J3" s="51"/>
    </row>
    <row r="4" spans="1:10" ht="13.5">
      <c r="A4" s="54" t="s">
        <v>3</v>
      </c>
      <c r="B4" s="54" t="s">
        <v>4</v>
      </c>
      <c r="C4" s="54"/>
      <c r="D4" s="54"/>
      <c r="E4" s="54"/>
      <c r="F4" s="17"/>
      <c r="G4" s="54"/>
      <c r="H4" s="51"/>
      <c r="I4" s="51"/>
      <c r="J4" s="51"/>
    </row>
    <row r="5" spans="1:10" ht="13.5">
      <c r="A5" s="54" t="s">
        <v>5</v>
      </c>
      <c r="B5" s="54" t="s">
        <v>87</v>
      </c>
      <c r="C5" s="54"/>
      <c r="D5" s="54"/>
      <c r="E5" s="54"/>
      <c r="F5" s="17"/>
      <c r="G5" s="54"/>
      <c r="H5" s="51"/>
      <c r="I5" s="51"/>
      <c r="J5" s="51"/>
    </row>
    <row r="6" spans="1:10" ht="13.5">
      <c r="A6" s="54"/>
      <c r="B6" s="54"/>
      <c r="C6" s="54"/>
      <c r="D6" s="54"/>
      <c r="E6" s="54"/>
      <c r="F6" s="17"/>
      <c r="G6" s="54"/>
      <c r="H6" s="51"/>
      <c r="I6" s="51"/>
      <c r="J6" s="51"/>
    </row>
    <row r="7" spans="1:10" s="1" customFormat="1" ht="13.5">
      <c r="A7" s="60" t="s">
        <v>88</v>
      </c>
      <c r="B7" s="56"/>
      <c r="C7" s="56"/>
      <c r="D7" s="56"/>
      <c r="E7" s="56"/>
      <c r="F7" s="71"/>
      <c r="G7" s="56"/>
      <c r="H7" s="56"/>
      <c r="I7" s="56"/>
      <c r="J7" s="56"/>
    </row>
    <row r="8" spans="1:10" s="1" customFormat="1" ht="13.5">
      <c r="A8" s="54" t="s">
        <v>89</v>
      </c>
      <c r="B8" s="72"/>
      <c r="C8" s="72"/>
      <c r="D8" s="72"/>
      <c r="E8" s="72"/>
      <c r="F8" s="73"/>
      <c r="G8" s="72"/>
      <c r="H8" s="72"/>
      <c r="I8" s="72"/>
      <c r="J8" s="72"/>
    </row>
    <row r="9" spans="1:10" s="1" customFormat="1" ht="13.5">
      <c r="A9" s="74" t="s">
        <v>90</v>
      </c>
      <c r="B9" s="54"/>
      <c r="C9" s="54"/>
      <c r="D9" s="54"/>
      <c r="E9" s="54"/>
      <c r="F9" s="17"/>
      <c r="G9" s="54"/>
      <c r="H9" s="54"/>
      <c r="I9" s="54"/>
      <c r="J9" s="54"/>
    </row>
    <row r="10" spans="1:10" s="1" customFormat="1" ht="13.5">
      <c r="A10" s="74" t="s">
        <v>91</v>
      </c>
      <c r="B10" s="54"/>
      <c r="C10" s="54"/>
      <c r="D10" s="54"/>
      <c r="E10" s="54"/>
      <c r="F10" s="17"/>
      <c r="G10" s="54"/>
      <c r="H10" s="54"/>
      <c r="I10" s="54"/>
      <c r="J10" s="54"/>
    </row>
    <row r="11" spans="1:10" s="1" customFormat="1" ht="13.5">
      <c r="A11" s="54"/>
      <c r="B11" s="54"/>
      <c r="C11" s="54"/>
      <c r="D11" s="54"/>
      <c r="E11" s="54"/>
      <c r="F11" s="73"/>
      <c r="G11" s="72"/>
      <c r="H11" s="72"/>
      <c r="I11" s="72"/>
      <c r="J11" s="72"/>
    </row>
    <row r="12" spans="1:10" s="1" customFormat="1" ht="13.5">
      <c r="A12" s="60" t="s">
        <v>92</v>
      </c>
      <c r="B12" s="56"/>
      <c r="C12" s="56"/>
      <c r="D12" s="56"/>
      <c r="E12" s="56"/>
      <c r="F12" s="71"/>
      <c r="G12" s="56"/>
      <c r="H12" s="56"/>
      <c r="I12" s="56"/>
      <c r="J12" s="56"/>
    </row>
    <row r="13" spans="1:10" s="1" customFormat="1" ht="13.5">
      <c r="A13" s="54" t="s">
        <v>93</v>
      </c>
      <c r="B13" s="54"/>
      <c r="C13" s="54"/>
      <c r="D13" s="54"/>
      <c r="E13" s="54"/>
      <c r="F13" s="17"/>
      <c r="G13" s="54"/>
      <c r="H13" s="54"/>
      <c r="I13" s="54"/>
      <c r="J13" s="54"/>
    </row>
    <row r="14" spans="1:10" s="1" customFormat="1" ht="13.5">
      <c r="A14" s="54"/>
      <c r="B14" s="54"/>
      <c r="C14" s="54"/>
      <c r="D14" s="54"/>
      <c r="E14" s="54"/>
      <c r="F14" s="17"/>
      <c r="G14" s="54"/>
      <c r="H14" s="54"/>
      <c r="I14" s="54"/>
      <c r="J14" s="54"/>
    </row>
    <row r="15" spans="1:10" s="1" customFormat="1" ht="13.5">
      <c r="A15" s="60" t="s">
        <v>94</v>
      </c>
      <c r="B15" s="56"/>
      <c r="C15" s="56"/>
      <c r="D15" s="56"/>
      <c r="E15" s="56"/>
      <c r="F15" s="71"/>
      <c r="G15" s="56"/>
      <c r="H15" s="56"/>
      <c r="I15" s="56"/>
      <c r="J15" s="56"/>
    </row>
    <row r="16" spans="1:10" s="1" customFormat="1" ht="13.5">
      <c r="A16" s="54" t="s">
        <v>95</v>
      </c>
      <c r="B16" s="54"/>
      <c r="C16" s="54"/>
      <c r="D16" s="54"/>
      <c r="E16" s="54"/>
      <c r="F16" s="17"/>
      <c r="G16" s="54"/>
      <c r="H16" s="54"/>
      <c r="I16" s="54"/>
      <c r="J16" s="54"/>
    </row>
    <row r="17" spans="1:13" s="1" customFormat="1" ht="13.5">
      <c r="A17" s="54"/>
      <c r="B17" s="54"/>
      <c r="C17" s="54"/>
      <c r="D17" s="54"/>
      <c r="E17" s="54"/>
      <c r="F17" s="17"/>
      <c r="G17" s="54"/>
      <c r="H17" s="54"/>
      <c r="I17" s="54"/>
      <c r="J17" s="54"/>
    </row>
    <row r="18" spans="1:13" s="1" customFormat="1" ht="13.5">
      <c r="A18" s="60" t="s">
        <v>10</v>
      </c>
      <c r="B18" s="60"/>
      <c r="C18" s="61" t="s">
        <v>11</v>
      </c>
      <c r="E18" s="60" t="s">
        <v>42</v>
      </c>
      <c r="F18" s="64"/>
      <c r="G18" s="75" t="s">
        <v>31</v>
      </c>
      <c r="H18" s="61" t="s">
        <v>11</v>
      </c>
      <c r="J18" s="72"/>
    </row>
    <row r="19" spans="1:13" s="1" customFormat="1" ht="13.5">
      <c r="A19" s="54" t="s">
        <v>96</v>
      </c>
      <c r="B19" s="54"/>
      <c r="C19" s="49" t="s">
        <v>97</v>
      </c>
      <c r="E19" s="62" t="s">
        <v>98</v>
      </c>
      <c r="F19" s="66"/>
      <c r="G19" s="19">
        <v>299800000</v>
      </c>
      <c r="H19" s="52" t="s">
        <v>46</v>
      </c>
      <c r="J19" s="72"/>
      <c r="K19" s="31"/>
    </row>
    <row r="20" spans="1:13" ht="13.5">
      <c r="A20" s="54" t="s">
        <v>99</v>
      </c>
      <c r="B20" s="54"/>
      <c r="C20" s="52" t="s">
        <v>100</v>
      </c>
      <c r="E20" s="62" t="s">
        <v>49</v>
      </c>
      <c r="F20" s="66"/>
      <c r="G20" s="19">
        <v>8.8539999999999992E-12</v>
      </c>
      <c r="H20" s="52" t="s">
        <v>50</v>
      </c>
      <c r="J20" s="77"/>
      <c r="K20" s="11"/>
      <c r="L20" s="6"/>
      <c r="M20" s="6"/>
    </row>
    <row r="21" spans="1:13" ht="13.5">
      <c r="E21" s="62" t="s">
        <v>53</v>
      </c>
      <c r="F21" s="66"/>
      <c r="G21" s="19">
        <f>4*PI()*0.0000001</f>
        <v>1.2566370614359173E-6</v>
      </c>
      <c r="H21" s="52" t="s">
        <v>54</v>
      </c>
      <c r="J21" s="77"/>
      <c r="K21" s="11"/>
      <c r="L21" s="6"/>
      <c r="M21" s="6"/>
    </row>
    <row r="22" spans="1:13" ht="13.5">
      <c r="A22" s="54"/>
      <c r="B22" s="54"/>
      <c r="C22" s="5"/>
      <c r="D22" s="42"/>
      <c r="E22" s="42"/>
      <c r="K22" s="6"/>
      <c r="L22" s="6"/>
      <c r="M22" s="6"/>
    </row>
    <row r="23" spans="1:13" ht="13.5">
      <c r="A23" s="60" t="s">
        <v>30</v>
      </c>
      <c r="B23" s="60"/>
      <c r="C23" s="39" t="s">
        <v>31</v>
      </c>
      <c r="D23" s="79" t="s">
        <v>11</v>
      </c>
      <c r="E23" s="80" t="s">
        <v>32</v>
      </c>
      <c r="F23" s="71"/>
      <c r="G23" s="56"/>
      <c r="H23" s="56"/>
      <c r="I23" s="56"/>
      <c r="J23" s="56"/>
      <c r="K23" s="6"/>
      <c r="L23" s="6"/>
      <c r="M23" s="6"/>
    </row>
    <row r="24" spans="1:13" ht="13.5">
      <c r="A24" s="62" t="s">
        <v>205</v>
      </c>
      <c r="B24" s="54"/>
      <c r="C24" s="44" t="s">
        <v>102</v>
      </c>
      <c r="D24" s="81" t="s">
        <v>103</v>
      </c>
      <c r="E24" s="82" t="s">
        <v>237</v>
      </c>
      <c r="F24" s="50"/>
      <c r="G24" s="51"/>
      <c r="H24" s="51"/>
      <c r="I24" s="51"/>
      <c r="J24" s="51"/>
      <c r="K24" s="6"/>
      <c r="L24" s="6"/>
      <c r="M24" s="6"/>
    </row>
    <row r="25" spans="1:13" ht="13.5">
      <c r="A25" s="62" t="s">
        <v>206</v>
      </c>
      <c r="B25" s="54"/>
      <c r="C25" s="44" t="s">
        <v>102</v>
      </c>
      <c r="D25" s="81" t="s">
        <v>103</v>
      </c>
      <c r="E25" s="82" t="s">
        <v>236</v>
      </c>
      <c r="F25" s="17"/>
      <c r="G25" s="54"/>
      <c r="H25" s="54"/>
      <c r="I25" s="54"/>
      <c r="J25" s="51"/>
      <c r="K25" s="6"/>
      <c r="L25" s="6"/>
      <c r="M25" s="6"/>
    </row>
    <row r="26" spans="1:13" ht="13.5">
      <c r="A26" s="54" t="s">
        <v>105</v>
      </c>
      <c r="B26" s="54"/>
      <c r="C26" s="44" t="s">
        <v>102</v>
      </c>
      <c r="D26" s="81" t="s">
        <v>100</v>
      </c>
      <c r="E26" s="52" t="s">
        <v>106</v>
      </c>
      <c r="F26" s="17"/>
      <c r="G26" s="54"/>
      <c r="H26" s="54"/>
      <c r="I26" s="51"/>
      <c r="J26" s="51"/>
      <c r="K26" s="6"/>
      <c r="L26" s="6"/>
      <c r="M26" s="6"/>
    </row>
    <row r="27" spans="1:13" ht="13.5">
      <c r="A27" s="54" t="s">
        <v>107</v>
      </c>
      <c r="B27" s="77"/>
      <c r="C27" s="116">
        <f>G19/(C26*2*SQRT(C24*C25))</f>
        <v>149900000</v>
      </c>
      <c r="D27" s="78" t="s">
        <v>97</v>
      </c>
      <c r="E27" s="52" t="s">
        <v>108</v>
      </c>
      <c r="F27" s="17"/>
      <c r="G27" s="54"/>
      <c r="H27" s="54"/>
      <c r="I27" s="51"/>
      <c r="J27" s="51"/>
      <c r="K27" s="6"/>
      <c r="L27" s="6"/>
      <c r="M27" s="6"/>
    </row>
    <row r="28" spans="1:13" ht="13.5">
      <c r="E28" s="31"/>
      <c r="F28" s="35"/>
      <c r="I28" s="30"/>
      <c r="J28" s="11"/>
      <c r="K28" s="6"/>
      <c r="L28" s="6"/>
      <c r="M28" s="6"/>
    </row>
    <row r="29" spans="1:13" ht="13.5">
      <c r="A29" s="30"/>
      <c r="B29" s="30"/>
      <c r="C29" s="30"/>
      <c r="D29" s="30"/>
      <c r="E29" s="30"/>
      <c r="F29" s="35"/>
      <c r="G29" s="34"/>
      <c r="H29" s="34"/>
      <c r="I29" s="34"/>
      <c r="J29" s="34"/>
      <c r="K29" s="6"/>
      <c r="L29" s="6"/>
      <c r="M29" s="6"/>
    </row>
    <row r="30" spans="1:13" ht="13.5">
      <c r="G30" s="34"/>
      <c r="H30" s="34"/>
      <c r="I30" s="34"/>
      <c r="J30" s="34"/>
      <c r="K30" s="6"/>
      <c r="L30" s="6"/>
      <c r="M30" s="6"/>
    </row>
    <row r="31" spans="1:13" ht="13.5">
      <c r="G31" s="38"/>
      <c r="H31" s="11"/>
      <c r="I31" s="6"/>
      <c r="J31" s="6"/>
      <c r="K31" s="6"/>
      <c r="L31" s="6"/>
      <c r="M31" s="6"/>
    </row>
    <row r="32" spans="1:13" s="26" customFormat="1">
      <c r="G32" s="10"/>
      <c r="H32" s="10"/>
    </row>
    <row r="33" spans="4:8" s="28" customFormat="1">
      <c r="G33" s="10"/>
      <c r="H33" s="10"/>
    </row>
    <row r="39" spans="4:8">
      <c r="D39" s="35"/>
      <c r="E39" s="36"/>
    </row>
    <row r="40" spans="4:8">
      <c r="D40" s="35"/>
      <c r="E40" s="36"/>
    </row>
    <row r="41" spans="4:8">
      <c r="D41" s="35"/>
      <c r="E41" s="36"/>
    </row>
    <row r="52" spans="1:10">
      <c r="D52" s="35"/>
      <c r="E52" s="36"/>
    </row>
    <row r="53" spans="1:10">
      <c r="D53" s="35"/>
      <c r="E53" s="36"/>
    </row>
    <row r="54" spans="1:10">
      <c r="D54" s="35"/>
      <c r="E54" s="36"/>
    </row>
    <row r="55" spans="1:10">
      <c r="D55" s="35"/>
      <c r="E55" s="36"/>
    </row>
    <row r="56" spans="1:10">
      <c r="D56" s="35"/>
      <c r="E56" s="36"/>
    </row>
    <row r="57" spans="1:10">
      <c r="D57" s="35"/>
      <c r="E57" s="36"/>
    </row>
    <row r="58" spans="1:10">
      <c r="D58" s="35"/>
      <c r="E58" s="36"/>
    </row>
    <row r="59" spans="1:10">
      <c r="D59" s="35"/>
      <c r="E59" s="36"/>
    </row>
    <row r="60" spans="1:10">
      <c r="D60" s="35"/>
      <c r="E60" s="36"/>
    </row>
    <row r="61" spans="1:10">
      <c r="D61" s="35"/>
      <c r="E61" s="36"/>
    </row>
    <row r="62" spans="1:10">
      <c r="D62" s="35"/>
      <c r="E62" s="36"/>
    </row>
    <row r="63" spans="1:10">
      <c r="A63" s="20"/>
      <c r="B63" s="20"/>
      <c r="C63" s="20"/>
      <c r="D63" s="37"/>
      <c r="E63" s="45"/>
      <c r="F63" s="37"/>
    </row>
    <row r="64" spans="1:10" ht="54">
      <c r="A64" s="222" t="s">
        <v>109</v>
      </c>
      <c r="B64" s="222"/>
      <c r="C64" s="223"/>
      <c r="D64" s="83" t="s">
        <v>110</v>
      </c>
      <c r="E64" s="224" t="s">
        <v>111</v>
      </c>
      <c r="F64" s="225"/>
      <c r="G64" s="51"/>
      <c r="H64" s="51"/>
      <c r="I64" s="51"/>
      <c r="J64" s="51"/>
    </row>
    <row r="65" spans="1:11" ht="40.5">
      <c r="A65" s="84" t="s">
        <v>112</v>
      </c>
      <c r="B65" s="84" t="s">
        <v>113</v>
      </c>
      <c r="C65" s="85" t="s">
        <v>114</v>
      </c>
      <c r="D65" s="86" t="s">
        <v>115</v>
      </c>
      <c r="E65" s="87" t="s">
        <v>115</v>
      </c>
      <c r="F65" s="88" t="s">
        <v>116</v>
      </c>
      <c r="G65" s="51"/>
      <c r="H65" s="51"/>
      <c r="I65" s="51"/>
      <c r="J65" s="51"/>
      <c r="K65" s="167"/>
    </row>
    <row r="66" spans="1:11" ht="13.5">
      <c r="A66" s="89">
        <v>10000</v>
      </c>
      <c r="B66" s="90">
        <f t="shared" ref="B66:B73" si="0">$G$19/(A66*SQRT($C$24*$C$25))</f>
        <v>29980</v>
      </c>
      <c r="C66" s="91">
        <f>B66/2</f>
        <v>14990</v>
      </c>
      <c r="D66" s="92">
        <f>B66/(2*PI())</f>
        <v>4771.4651938950219</v>
      </c>
      <c r="E66" s="93">
        <f>0.62*SQRT($C$26*$C$26*$C$26/B66)</f>
        <v>3.580765456458918E-3</v>
      </c>
      <c r="F66" s="93">
        <f>(2*$C$26*$C$26)/B66</f>
        <v>6.6711140760507002E-5</v>
      </c>
      <c r="G66" s="51"/>
      <c r="H66" s="51"/>
      <c r="I66" s="51"/>
      <c r="J66" s="51"/>
    </row>
    <row r="67" spans="1:11" ht="13.5">
      <c r="A67" s="89">
        <v>100000</v>
      </c>
      <c r="B67" s="90">
        <f t="shared" si="0"/>
        <v>2998</v>
      </c>
      <c r="C67" s="91">
        <f t="shared" ref="C67:C71" si="1">B67/2</f>
        <v>1499</v>
      </c>
      <c r="D67" s="92">
        <f t="shared" ref="D67:D71" si="2">B67/(2*PI())</f>
        <v>477.14651938950226</v>
      </c>
      <c r="E67" s="93">
        <f t="shared" ref="E67:E71" si="3">0.62*SQRT($C$26*$C$26*$C$26/B67)</f>
        <v>1.1323374609262665E-2</v>
      </c>
      <c r="F67" s="93">
        <f t="shared" ref="F67:F71" si="4">(2*$C$26*$C$26)/B67</f>
        <v>6.6711140760506999E-4</v>
      </c>
      <c r="G67" s="51"/>
      <c r="H67" s="51"/>
      <c r="I67" s="51"/>
      <c r="J67" s="51"/>
    </row>
    <row r="68" spans="1:11" ht="13.5">
      <c r="A68" s="89">
        <v>1000000</v>
      </c>
      <c r="B68" s="90">
        <f t="shared" si="0"/>
        <v>299.8</v>
      </c>
      <c r="C68" s="91">
        <f t="shared" si="1"/>
        <v>149.9</v>
      </c>
      <c r="D68" s="92">
        <f t="shared" si="2"/>
        <v>47.714651938950226</v>
      </c>
      <c r="E68" s="93">
        <f t="shared" si="3"/>
        <v>3.5807654564589182E-2</v>
      </c>
      <c r="F68" s="93">
        <f t="shared" si="4"/>
        <v>6.6711140760507001E-3</v>
      </c>
      <c r="G68" s="51"/>
      <c r="H68" s="51"/>
      <c r="I68" s="51"/>
      <c r="J68" s="51"/>
    </row>
    <row r="69" spans="1:11" ht="13.5">
      <c r="A69" s="89">
        <v>10000000</v>
      </c>
      <c r="B69" s="90">
        <f t="shared" si="0"/>
        <v>29.98</v>
      </c>
      <c r="C69" s="91">
        <f t="shared" si="1"/>
        <v>14.99</v>
      </c>
      <c r="D69" s="92">
        <f t="shared" si="2"/>
        <v>4.7714651938950228</v>
      </c>
      <c r="E69" s="93">
        <f t="shared" si="3"/>
        <v>0.11323374609262668</v>
      </c>
      <c r="F69" s="93">
        <f t="shared" si="4"/>
        <v>6.6711140760507007E-2</v>
      </c>
      <c r="G69" s="51"/>
      <c r="H69" s="51"/>
      <c r="I69" s="51"/>
      <c r="J69" s="51"/>
    </row>
    <row r="70" spans="1:11" ht="13.5">
      <c r="A70" s="89">
        <v>100000000</v>
      </c>
      <c r="B70" s="90">
        <f t="shared" si="0"/>
        <v>2.9980000000000002</v>
      </c>
      <c r="C70" s="91">
        <f t="shared" si="1"/>
        <v>1.4990000000000001</v>
      </c>
      <c r="D70" s="92">
        <f t="shared" si="2"/>
        <v>0.47714651938950225</v>
      </c>
      <c r="E70" s="93">
        <f t="shared" si="3"/>
        <v>0.35807654564589186</v>
      </c>
      <c r="F70" s="93">
        <f t="shared" si="4"/>
        <v>0.66711140760507004</v>
      </c>
      <c r="G70" s="51"/>
      <c r="H70" s="51"/>
      <c r="I70" s="51"/>
      <c r="J70" s="51"/>
    </row>
    <row r="71" spans="1:11" ht="13.5">
      <c r="A71" s="89">
        <v>1000000000</v>
      </c>
      <c r="B71" s="90">
        <f t="shared" si="0"/>
        <v>0.29980000000000001</v>
      </c>
      <c r="C71" s="91">
        <f t="shared" si="1"/>
        <v>0.14990000000000001</v>
      </c>
      <c r="D71" s="92">
        <f t="shared" si="2"/>
        <v>4.7714651938950227E-2</v>
      </c>
      <c r="E71" s="93">
        <f t="shared" si="3"/>
        <v>1.1323374609262666</v>
      </c>
      <c r="F71" s="93">
        <f t="shared" si="4"/>
        <v>6.6711140760507002</v>
      </c>
      <c r="G71" s="51"/>
      <c r="H71" s="51"/>
      <c r="I71" s="51"/>
      <c r="J71" s="51"/>
    </row>
    <row r="72" spans="1:11" ht="13.5">
      <c r="A72" s="89">
        <v>10000000000</v>
      </c>
      <c r="B72" s="90">
        <f t="shared" si="0"/>
        <v>2.998E-2</v>
      </c>
      <c r="C72" s="91">
        <f t="shared" ref="C72" si="5">B72/2</f>
        <v>1.499E-2</v>
      </c>
      <c r="D72" s="92">
        <f t="shared" ref="D72" si="6">B72/(2*PI())</f>
        <v>4.7714651938950223E-3</v>
      </c>
      <c r="E72" s="93">
        <f t="shared" ref="E72" si="7">0.62*SQRT($C$26*$C$26*$C$26/B72)</f>
        <v>3.5807654564589182</v>
      </c>
      <c r="F72" s="93">
        <f t="shared" ref="F72" si="8">(2*$C$26*$C$26)/B72</f>
        <v>66.711140760507007</v>
      </c>
      <c r="G72" s="51"/>
      <c r="H72" s="51"/>
      <c r="I72" s="51"/>
      <c r="J72" s="51"/>
    </row>
    <row r="73" spans="1:11" ht="13.5">
      <c r="A73" s="94">
        <v>100000000000</v>
      </c>
      <c r="B73" s="90">
        <f t="shared" si="0"/>
        <v>2.9979999999999998E-3</v>
      </c>
      <c r="C73" s="95">
        <f t="shared" ref="C73" si="9">B73/2</f>
        <v>1.4989999999999999E-3</v>
      </c>
      <c r="D73" s="96">
        <f t="shared" ref="D73" si="10">B73/(2*PI())</f>
        <v>4.7714651938950218E-4</v>
      </c>
      <c r="E73" s="96">
        <f t="shared" ref="E73" si="11">0.62*SQRT($C$26*$C$26*$C$26/B73)</f>
        <v>11.323374609262666</v>
      </c>
      <c r="F73" s="92">
        <f t="shared" ref="F73" si="12">(2*$C$26*$C$26)/B73</f>
        <v>667.1114076050701</v>
      </c>
      <c r="G73" s="51"/>
      <c r="H73" s="51"/>
      <c r="I73" s="51"/>
      <c r="J73" s="51"/>
    </row>
    <row r="74" spans="1:11" ht="13.5">
      <c r="A74" s="94"/>
      <c r="B74" s="90"/>
      <c r="C74" s="95"/>
      <c r="D74" s="165"/>
      <c r="E74" s="165"/>
      <c r="F74" s="166"/>
      <c r="G74" s="51"/>
      <c r="H74" s="51"/>
      <c r="I74" s="51"/>
      <c r="J74" s="51"/>
    </row>
    <row r="75" spans="1:11" ht="13.5">
      <c r="A75" s="94" t="s">
        <v>213</v>
      </c>
      <c r="B75" s="90"/>
      <c r="C75" s="95"/>
      <c r="D75" s="165"/>
      <c r="E75" s="165"/>
      <c r="F75" s="166"/>
      <c r="G75" s="51"/>
      <c r="H75" s="51"/>
      <c r="I75" s="51"/>
      <c r="J75" s="51"/>
    </row>
    <row r="76" spans="1:11" ht="13.5">
      <c r="A76" s="226" t="s">
        <v>217</v>
      </c>
      <c r="B76" s="226"/>
      <c r="C76" s="226"/>
      <c r="D76" s="226"/>
      <c r="E76" s="226"/>
      <c r="F76" s="226"/>
      <c r="G76" s="226"/>
      <c r="H76" s="226"/>
      <c r="I76" s="226"/>
      <c r="J76" s="226"/>
    </row>
    <row r="77" spans="1:11" ht="13.5">
      <c r="A77" s="94"/>
      <c r="B77" s="90"/>
      <c r="C77" s="95"/>
      <c r="D77" s="165"/>
      <c r="E77" s="165"/>
      <c r="F77" s="166"/>
      <c r="G77" s="51"/>
      <c r="H77" s="51"/>
      <c r="I77" s="51"/>
      <c r="J77" s="51"/>
    </row>
    <row r="78" spans="1:11" ht="21" customHeight="1">
      <c r="A78" s="219" t="s">
        <v>37</v>
      </c>
      <c r="B78" s="219"/>
      <c r="C78" s="219"/>
      <c r="D78" s="219"/>
      <c r="E78" s="219"/>
      <c r="F78" s="219"/>
      <c r="G78" s="219"/>
      <c r="H78" s="219"/>
      <c r="I78" s="219"/>
      <c r="J78" s="219"/>
    </row>
    <row r="79" spans="1:11" ht="12" customHeight="1">
      <c r="A79" s="115"/>
      <c r="B79" s="115"/>
      <c r="C79" s="115"/>
      <c r="D79" s="115"/>
      <c r="E79" s="115"/>
      <c r="F79" s="115"/>
      <c r="G79" s="51"/>
      <c r="H79" s="51"/>
      <c r="I79" s="51"/>
      <c r="J79" s="51"/>
    </row>
    <row r="80" spans="1:11">
      <c r="A80" s="115"/>
      <c r="B80" s="115"/>
      <c r="C80" s="115"/>
      <c r="D80" s="115"/>
      <c r="E80" s="115"/>
      <c r="F80" s="115"/>
      <c r="G80" s="51"/>
      <c r="H80" s="51"/>
      <c r="I80" s="51"/>
      <c r="J80" s="51"/>
    </row>
    <row r="81" spans="1:10">
      <c r="A81" s="115"/>
      <c r="B81" s="115"/>
      <c r="C81" s="115"/>
      <c r="D81" s="115"/>
      <c r="E81" s="115"/>
      <c r="F81" s="115"/>
      <c r="G81" s="51"/>
      <c r="H81" s="51"/>
      <c r="I81" s="51"/>
      <c r="J81" s="51"/>
    </row>
    <row r="82" spans="1:10" ht="13.5">
      <c r="A82" s="97"/>
      <c r="B82" s="51"/>
      <c r="C82" s="51"/>
      <c r="D82" s="51"/>
      <c r="E82" s="51"/>
      <c r="F82" s="50"/>
      <c r="G82" s="51"/>
      <c r="H82" s="51"/>
      <c r="I82" s="51"/>
      <c r="J82" s="51"/>
    </row>
    <row r="83" spans="1:10" ht="13.5">
      <c r="A83" s="33"/>
    </row>
    <row r="84" spans="1:10" ht="13.5">
      <c r="A84" s="32"/>
    </row>
    <row r="85" spans="1:10" ht="13.5">
      <c r="A85" s="32"/>
    </row>
    <row r="86" spans="1:10" ht="13.5">
      <c r="A86" s="33"/>
    </row>
    <row r="87" spans="1:10" ht="13.5">
      <c r="A87" s="32"/>
    </row>
    <row r="88" spans="1:10" ht="13.5">
      <c r="A88" s="32"/>
    </row>
    <row r="89" spans="1:10" ht="13.5">
      <c r="A89" s="33"/>
    </row>
    <row r="90" spans="1:10" ht="13.5">
      <c r="A90" s="32"/>
    </row>
    <row r="91" spans="1:10" ht="13.5">
      <c r="A91" s="32"/>
    </row>
    <row r="92" spans="1:10" ht="13.5">
      <c r="A92" s="33"/>
    </row>
    <row r="93" spans="1:10" ht="13.5">
      <c r="A93" s="32"/>
    </row>
    <row r="94" spans="1:10" ht="13.5">
      <c r="A94" s="32"/>
    </row>
    <row r="95" spans="1:10" ht="13.5">
      <c r="A95" s="33"/>
    </row>
    <row r="96" spans="1:10" ht="13.5">
      <c r="A96" s="32"/>
    </row>
    <row r="97" spans="1:1" ht="13.5">
      <c r="A97" s="32"/>
    </row>
    <row r="98" spans="1:1" ht="13.5">
      <c r="A98" s="33"/>
    </row>
    <row r="99" spans="1:1" ht="13.5">
      <c r="A99" s="32"/>
    </row>
    <row r="100" spans="1:1" ht="13.5">
      <c r="A100" s="32"/>
    </row>
    <row r="101" spans="1:1" ht="13.5">
      <c r="A101" s="33"/>
    </row>
    <row r="102" spans="1:1" ht="13.5">
      <c r="A102" s="32"/>
    </row>
    <row r="103" spans="1:1" ht="13.5">
      <c r="A103" s="32"/>
    </row>
    <row r="104" spans="1:1" ht="13.5">
      <c r="A104" s="33"/>
    </row>
    <row r="105" spans="1:1" ht="13.5">
      <c r="A105" s="32"/>
    </row>
    <row r="106" spans="1:1" ht="13.5">
      <c r="A106" s="32"/>
    </row>
    <row r="107" spans="1:1" ht="13.5">
      <c r="A107" s="33"/>
    </row>
    <row r="108" spans="1:1" ht="13.5">
      <c r="A108" s="32"/>
    </row>
    <row r="109" spans="1:1" ht="13.5">
      <c r="A109" s="32"/>
    </row>
    <row r="110" spans="1:1" ht="13.5">
      <c r="A110" s="33"/>
    </row>
    <row r="111" spans="1:1" ht="13.5">
      <c r="A111" s="32"/>
    </row>
    <row r="112" spans="1:1" ht="13.5">
      <c r="A112" s="32"/>
    </row>
    <row r="113" spans="1:1" ht="13.5">
      <c r="A113" s="33"/>
    </row>
    <row r="114" spans="1:1" ht="13.5">
      <c r="A114" s="32"/>
    </row>
    <row r="115" spans="1:1" ht="13.5">
      <c r="A115" s="32"/>
    </row>
    <row r="116" spans="1:1" ht="13.5">
      <c r="A116" s="33"/>
    </row>
    <row r="117" spans="1:1" ht="13.5">
      <c r="A117" s="32"/>
    </row>
    <row r="118" spans="1:1" ht="13.5">
      <c r="A118" s="32"/>
    </row>
    <row r="119" spans="1:1" ht="13.5">
      <c r="A119" s="33"/>
    </row>
    <row r="120" spans="1:1" ht="13.5">
      <c r="A120" s="32"/>
    </row>
    <row r="121" spans="1:1" ht="13.5">
      <c r="A121" s="32"/>
    </row>
    <row r="122" spans="1:1" ht="13.5">
      <c r="A122" s="33"/>
    </row>
    <row r="123" spans="1:1" ht="13.5">
      <c r="A123" s="32"/>
    </row>
    <row r="124" spans="1:1" ht="13.5">
      <c r="A124" s="32"/>
    </row>
    <row r="125" spans="1:1" ht="13.5">
      <c r="A125" s="33"/>
    </row>
    <row r="126" spans="1:1" ht="13.5">
      <c r="A126" s="32"/>
    </row>
    <row r="127" spans="1:1" ht="13.5">
      <c r="A127" s="32"/>
    </row>
    <row r="128" spans="1:1" ht="13.5">
      <c r="A128" s="33"/>
    </row>
    <row r="129" spans="1:1" ht="13.5">
      <c r="A129" s="32"/>
    </row>
    <row r="130" spans="1:1" ht="13.5">
      <c r="A130" s="32"/>
    </row>
    <row r="131" spans="1:1" ht="13.5">
      <c r="A131" s="33"/>
    </row>
    <row r="132" spans="1:1" ht="13.5">
      <c r="A132" s="32"/>
    </row>
    <row r="133" spans="1:1" ht="13.5">
      <c r="A133" s="32"/>
    </row>
    <row r="134" spans="1:1" ht="13.5">
      <c r="A134" s="33"/>
    </row>
    <row r="135" spans="1:1" ht="13.5">
      <c r="A135" s="32"/>
    </row>
    <row r="136" spans="1:1" ht="13.5">
      <c r="A136" s="32"/>
    </row>
    <row r="137" spans="1:1" ht="13.5">
      <c r="A137" s="33"/>
    </row>
    <row r="138" spans="1:1" ht="13.5">
      <c r="A138" s="32"/>
    </row>
    <row r="139" spans="1:1" ht="13.5">
      <c r="A139" s="32"/>
    </row>
    <row r="140" spans="1:1" ht="13.5">
      <c r="A140" s="33"/>
    </row>
    <row r="141" spans="1:1" ht="13.5">
      <c r="A141" s="32"/>
    </row>
    <row r="142" spans="1:1" ht="13.5">
      <c r="A142" s="32"/>
    </row>
    <row r="143" spans="1:1" ht="13.5">
      <c r="A143" s="33"/>
    </row>
    <row r="144" spans="1:1" ht="13.5">
      <c r="A144" s="32"/>
    </row>
    <row r="145" spans="1:1" ht="13.5">
      <c r="A145" s="32"/>
    </row>
    <row r="146" spans="1:1" ht="13.5">
      <c r="A146" s="33"/>
    </row>
    <row r="147" spans="1:1" ht="13.5">
      <c r="A147" s="32"/>
    </row>
    <row r="148" spans="1:1" ht="13.5">
      <c r="A148" s="32"/>
    </row>
    <row r="149" spans="1:1" ht="13.5">
      <c r="A149" s="33"/>
    </row>
    <row r="150" spans="1:1" ht="13.5">
      <c r="A150" s="32"/>
    </row>
    <row r="151" spans="1:1" ht="13.5">
      <c r="A151" s="32"/>
    </row>
    <row r="152" spans="1:1" ht="13.5">
      <c r="A152" s="33"/>
    </row>
    <row r="153" spans="1:1" ht="13.5">
      <c r="A153" s="32"/>
    </row>
    <row r="154" spans="1:1" ht="13.5">
      <c r="A154" s="32"/>
    </row>
    <row r="155" spans="1:1" ht="13.5">
      <c r="A155" s="33"/>
    </row>
    <row r="156" spans="1:1" ht="13.5">
      <c r="A156" s="32"/>
    </row>
    <row r="157" spans="1:1" ht="13.5">
      <c r="A157" s="32"/>
    </row>
    <row r="158" spans="1:1" ht="13.5">
      <c r="A158" s="33"/>
    </row>
    <row r="159" spans="1:1" ht="13.5">
      <c r="A159" s="32"/>
    </row>
    <row r="160" spans="1:1" ht="13.5">
      <c r="A160" s="32"/>
    </row>
    <row r="161" spans="1:1" ht="13.5">
      <c r="A161" s="33"/>
    </row>
    <row r="162" spans="1:1" ht="13.5">
      <c r="A162" s="32"/>
    </row>
    <row r="163" spans="1:1" ht="13.5">
      <c r="A163" s="32"/>
    </row>
    <row r="164" spans="1:1" ht="13.5">
      <c r="A164" s="33"/>
    </row>
    <row r="165" spans="1:1" ht="13.5">
      <c r="A165" s="32"/>
    </row>
    <row r="166" spans="1:1" ht="13.5">
      <c r="A166" s="32"/>
    </row>
    <row r="167" spans="1:1" ht="13.5">
      <c r="A167" s="33"/>
    </row>
    <row r="168" spans="1:1" ht="13.5">
      <c r="A168" s="32"/>
    </row>
    <row r="169" spans="1:1" ht="13.5">
      <c r="A169" s="32"/>
    </row>
    <row r="170" spans="1:1" ht="13.5">
      <c r="A170" s="33"/>
    </row>
    <row r="171" spans="1:1" ht="13.5">
      <c r="A171" s="32"/>
    </row>
    <row r="172" spans="1:1" ht="13.5">
      <c r="A172" s="32"/>
    </row>
    <row r="173" spans="1:1" ht="13.5">
      <c r="A173" s="33"/>
    </row>
    <row r="174" spans="1:1" ht="13.5">
      <c r="A174" s="32"/>
    </row>
    <row r="175" spans="1:1" ht="13.5">
      <c r="A175" s="32"/>
    </row>
    <row r="176" spans="1:1" ht="13.5">
      <c r="A176" s="33"/>
    </row>
    <row r="177" spans="1:1" ht="13.5">
      <c r="A177" s="32"/>
    </row>
    <row r="178" spans="1:1" ht="13.5">
      <c r="A178" s="32"/>
    </row>
    <row r="179" spans="1:1" ht="13.5">
      <c r="A179" s="33"/>
    </row>
    <row r="180" spans="1:1" ht="13.5">
      <c r="A180" s="32"/>
    </row>
    <row r="181" spans="1:1" ht="13.5">
      <c r="A181" s="32"/>
    </row>
    <row r="182" spans="1:1" ht="13.5">
      <c r="A182" s="33"/>
    </row>
    <row r="183" spans="1:1" ht="13.5">
      <c r="A183" s="32"/>
    </row>
    <row r="184" spans="1:1" ht="13.5">
      <c r="A184" s="32"/>
    </row>
    <row r="185" spans="1:1" ht="13.5">
      <c r="A185" s="33"/>
    </row>
    <row r="186" spans="1:1" ht="13.5">
      <c r="A186" s="32"/>
    </row>
    <row r="187" spans="1:1" ht="13.5">
      <c r="A187" s="32"/>
    </row>
    <row r="188" spans="1:1" ht="13.5">
      <c r="A188" s="33"/>
    </row>
    <row r="189" spans="1:1" ht="13.5">
      <c r="A189" s="32"/>
    </row>
    <row r="190" spans="1:1" ht="13.5">
      <c r="A190" s="32"/>
    </row>
    <row r="191" spans="1:1" ht="13.5">
      <c r="A191" s="33"/>
    </row>
    <row r="192" spans="1:1" ht="13.5">
      <c r="A192" s="32"/>
    </row>
    <row r="193" spans="1:1" ht="13.5">
      <c r="A193" s="32"/>
    </row>
    <row r="194" spans="1:1" ht="13.5">
      <c r="A194" s="33"/>
    </row>
    <row r="195" spans="1:1" ht="13.5">
      <c r="A195" s="32"/>
    </row>
    <row r="196" spans="1:1" ht="13.5">
      <c r="A196" s="32"/>
    </row>
    <row r="197" spans="1:1" ht="13.5">
      <c r="A197" s="33"/>
    </row>
    <row r="198" spans="1:1" ht="13.5">
      <c r="A198" s="32"/>
    </row>
    <row r="199" spans="1:1" ht="13.5">
      <c r="A199" s="32"/>
    </row>
    <row r="200" spans="1:1" ht="13.5">
      <c r="A200" s="33"/>
    </row>
    <row r="201" spans="1:1" ht="13.5">
      <c r="A201" s="32"/>
    </row>
    <row r="202" spans="1:1" ht="13.5">
      <c r="A202" s="32"/>
    </row>
    <row r="203" spans="1:1" ht="13.5">
      <c r="A203" s="33"/>
    </row>
    <row r="204" spans="1:1" ht="13.5">
      <c r="A204" s="32"/>
    </row>
    <row r="205" spans="1:1" ht="13.5">
      <c r="A205" s="32"/>
    </row>
    <row r="206" spans="1:1" ht="13.5">
      <c r="A206" s="33"/>
    </row>
    <row r="207" spans="1:1" ht="13.5">
      <c r="A207" s="32"/>
    </row>
    <row r="208" spans="1:1" ht="13.5">
      <c r="A208" s="32"/>
    </row>
    <row r="209" spans="1:1" ht="13.5">
      <c r="A209" s="33"/>
    </row>
    <row r="210" spans="1:1" ht="13.5">
      <c r="A210" s="32"/>
    </row>
    <row r="211" spans="1:1" ht="13.5">
      <c r="A211" s="32"/>
    </row>
    <row r="212" spans="1:1" ht="13.5">
      <c r="A212" s="33"/>
    </row>
    <row r="213" spans="1:1" ht="13.5">
      <c r="A213" s="32"/>
    </row>
    <row r="214" spans="1:1" ht="13.5">
      <c r="A214" s="32"/>
    </row>
    <row r="215" spans="1:1" ht="13.5">
      <c r="A215" s="33"/>
    </row>
    <row r="216" spans="1:1" ht="13.5">
      <c r="A216" s="32"/>
    </row>
    <row r="217" spans="1:1" ht="13.5">
      <c r="A217" s="32"/>
    </row>
    <row r="218" spans="1:1" ht="13.5">
      <c r="A218" s="33"/>
    </row>
    <row r="219" spans="1:1" ht="13.5">
      <c r="A219" s="32"/>
    </row>
    <row r="220" spans="1:1" ht="13.5">
      <c r="A220" s="32"/>
    </row>
    <row r="221" spans="1:1" ht="13.5">
      <c r="A221" s="33"/>
    </row>
    <row r="222" spans="1:1" ht="13.5">
      <c r="A222" s="32"/>
    </row>
    <row r="223" spans="1:1" ht="13.5">
      <c r="A223" s="32"/>
    </row>
    <row r="224" spans="1:1" ht="13.5">
      <c r="A224" s="33"/>
    </row>
    <row r="225" spans="1:1" ht="13.5">
      <c r="A225" s="32"/>
    </row>
    <row r="226" spans="1:1" ht="13.5">
      <c r="A226" s="32"/>
    </row>
    <row r="227" spans="1:1" ht="13.5">
      <c r="A227" s="33"/>
    </row>
    <row r="228" spans="1:1" ht="13.5">
      <c r="A228" s="32"/>
    </row>
    <row r="229" spans="1:1" ht="13.5">
      <c r="A229" s="32"/>
    </row>
    <row r="230" spans="1:1" ht="13.5">
      <c r="A230" s="33"/>
    </row>
    <row r="231" spans="1:1" ht="13.5">
      <c r="A231" s="32"/>
    </row>
    <row r="232" spans="1:1" ht="13.5">
      <c r="A232" s="32"/>
    </row>
    <row r="233" spans="1:1" ht="13.5">
      <c r="A233" s="33"/>
    </row>
    <row r="234" spans="1:1" ht="13.5">
      <c r="A234" s="32"/>
    </row>
    <row r="235" spans="1:1" ht="13.5">
      <c r="A235" s="32"/>
    </row>
    <row r="236" spans="1:1" ht="13.5">
      <c r="A236" s="33"/>
    </row>
    <row r="237" spans="1:1" ht="13.5">
      <c r="A237" s="32"/>
    </row>
    <row r="238" spans="1:1" ht="13.5">
      <c r="A238" s="32"/>
    </row>
    <row r="239" spans="1:1" ht="13.5">
      <c r="A239" s="33"/>
    </row>
    <row r="240" spans="1:1" ht="13.5">
      <c r="A240" s="32"/>
    </row>
    <row r="241" spans="1:1" ht="13.5">
      <c r="A241" s="32"/>
    </row>
    <row r="242" spans="1:1" ht="13.5">
      <c r="A242" s="33"/>
    </row>
    <row r="243" spans="1:1" ht="13.5">
      <c r="A243" s="32"/>
    </row>
    <row r="244" spans="1:1" ht="13.5">
      <c r="A244" s="32"/>
    </row>
    <row r="245" spans="1:1" ht="13.5">
      <c r="A245" s="33"/>
    </row>
    <row r="246" spans="1:1" ht="13.5">
      <c r="A246" s="32"/>
    </row>
    <row r="247" spans="1:1" ht="13.5">
      <c r="A247" s="32"/>
    </row>
    <row r="248" spans="1:1" ht="13.5">
      <c r="A248" s="33"/>
    </row>
    <row r="249" spans="1:1" ht="13.5">
      <c r="A249" s="32"/>
    </row>
    <row r="250" spans="1:1" ht="13.5">
      <c r="A250" s="32"/>
    </row>
    <row r="251" spans="1:1" ht="13.5">
      <c r="A251" s="33"/>
    </row>
    <row r="252" spans="1:1" ht="13.5">
      <c r="A252" s="32"/>
    </row>
    <row r="253" spans="1:1" ht="13.5">
      <c r="A253" s="32"/>
    </row>
    <row r="254" spans="1:1" ht="13.5">
      <c r="A254" s="33"/>
    </row>
    <row r="255" spans="1:1" ht="13.5">
      <c r="A255" s="32"/>
    </row>
    <row r="256" spans="1:1" ht="13.5">
      <c r="A256" s="32"/>
    </row>
    <row r="257" spans="1:1" ht="13.5">
      <c r="A257" s="33"/>
    </row>
    <row r="258" spans="1:1" ht="13.5">
      <c r="A258" s="32"/>
    </row>
    <row r="259" spans="1:1" ht="13.5">
      <c r="A259" s="32"/>
    </row>
    <row r="260" spans="1:1" ht="13.5">
      <c r="A260" s="33"/>
    </row>
    <row r="261" spans="1:1" ht="13.5">
      <c r="A261" s="32"/>
    </row>
    <row r="262" spans="1:1" ht="13.5">
      <c r="A262" s="32"/>
    </row>
    <row r="263" spans="1:1" ht="13.5">
      <c r="A263" s="33"/>
    </row>
    <row r="264" spans="1:1" ht="13.5">
      <c r="A264" s="32"/>
    </row>
    <row r="265" spans="1:1" ht="13.5">
      <c r="A265" s="32"/>
    </row>
    <row r="266" spans="1:1" ht="13.5">
      <c r="A266" s="33"/>
    </row>
    <row r="267" spans="1:1" ht="13.5">
      <c r="A267" s="32"/>
    </row>
    <row r="268" spans="1:1" ht="13.5">
      <c r="A268" s="32"/>
    </row>
    <row r="269" spans="1:1" ht="13.5">
      <c r="A269" s="33"/>
    </row>
    <row r="270" spans="1:1" ht="13.5">
      <c r="A270" s="32"/>
    </row>
    <row r="271" spans="1:1" ht="13.5">
      <c r="A271" s="32"/>
    </row>
    <row r="272" spans="1:1" ht="13.5">
      <c r="A272" s="33"/>
    </row>
    <row r="273" spans="1:1" ht="13.5">
      <c r="A273" s="32"/>
    </row>
    <row r="274" spans="1:1" ht="13.5">
      <c r="A274" s="32"/>
    </row>
    <row r="275" spans="1:1" ht="13.5">
      <c r="A275" s="33"/>
    </row>
    <row r="276" spans="1:1" ht="13.5">
      <c r="A276" s="32"/>
    </row>
    <row r="277" spans="1:1" ht="13.5">
      <c r="A277" s="32"/>
    </row>
    <row r="278" spans="1:1" ht="13.5">
      <c r="A278" s="33"/>
    </row>
    <row r="279" spans="1:1" ht="13.5">
      <c r="A279" s="32"/>
    </row>
    <row r="280" spans="1:1" ht="13.5">
      <c r="A280" s="32"/>
    </row>
    <row r="281" spans="1:1" ht="13.5">
      <c r="A281" s="33"/>
    </row>
    <row r="282" spans="1:1" ht="13.5">
      <c r="A282" s="32"/>
    </row>
    <row r="283" spans="1:1" ht="13.5">
      <c r="A283" s="32"/>
    </row>
    <row r="284" spans="1:1" ht="13.5">
      <c r="A284" s="33"/>
    </row>
    <row r="285" spans="1:1" ht="13.5">
      <c r="A285" s="32"/>
    </row>
    <row r="286" spans="1:1" ht="13.5">
      <c r="A286" s="32"/>
    </row>
    <row r="287" spans="1:1" ht="13.5">
      <c r="A287" s="33"/>
    </row>
    <row r="288" spans="1:1" ht="13.5">
      <c r="A288" s="32"/>
    </row>
    <row r="289" spans="1:1" ht="13.5">
      <c r="A289" s="32"/>
    </row>
    <row r="290" spans="1:1" ht="13.5">
      <c r="A290" s="33"/>
    </row>
    <row r="291" spans="1:1" ht="13.5">
      <c r="A291" s="32"/>
    </row>
    <row r="292" spans="1:1" ht="13.5">
      <c r="A292" s="32"/>
    </row>
    <row r="293" spans="1:1" ht="13.5">
      <c r="A293" s="33"/>
    </row>
    <row r="294" spans="1:1" ht="13.5">
      <c r="A294" s="32"/>
    </row>
    <row r="295" spans="1:1" ht="13.5">
      <c r="A295" s="32"/>
    </row>
    <row r="296" spans="1:1" ht="13.5">
      <c r="A296" s="33"/>
    </row>
    <row r="297" spans="1:1" ht="13.5">
      <c r="A297" s="32"/>
    </row>
    <row r="298" spans="1:1" ht="13.5">
      <c r="A298" s="32"/>
    </row>
    <row r="299" spans="1:1" ht="13.5">
      <c r="A299" s="33"/>
    </row>
    <row r="300" spans="1:1" ht="13.5">
      <c r="A300" s="32"/>
    </row>
    <row r="301" spans="1:1" ht="13.5">
      <c r="A301" s="32"/>
    </row>
    <row r="302" spans="1:1" ht="13.5">
      <c r="A302" s="33"/>
    </row>
    <row r="303" spans="1:1" ht="13.5">
      <c r="A303" s="32"/>
    </row>
    <row r="304" spans="1:1" ht="13.5">
      <c r="A304" s="32"/>
    </row>
    <row r="305" spans="1:1" ht="13.5">
      <c r="A305" s="33"/>
    </row>
    <row r="306" spans="1:1" ht="13.5">
      <c r="A306" s="32"/>
    </row>
    <row r="307" spans="1:1" ht="13.5">
      <c r="A307" s="32"/>
    </row>
    <row r="308" spans="1:1" ht="13.5">
      <c r="A308" s="33"/>
    </row>
    <row r="309" spans="1:1" ht="13.5">
      <c r="A309" s="32"/>
    </row>
    <row r="310" spans="1:1" ht="13.5">
      <c r="A310" s="32"/>
    </row>
    <row r="311" spans="1:1" ht="13.5">
      <c r="A311" s="33"/>
    </row>
    <row r="312" spans="1:1" ht="13.5">
      <c r="A312" s="32"/>
    </row>
    <row r="313" spans="1:1" ht="13.5">
      <c r="A313" s="32"/>
    </row>
    <row r="314" spans="1:1" ht="13.5">
      <c r="A314" s="33"/>
    </row>
    <row r="315" spans="1:1" ht="13.5">
      <c r="A315" s="32"/>
    </row>
    <row r="316" spans="1:1" ht="13.5">
      <c r="A316" s="32"/>
    </row>
    <row r="317" spans="1:1" ht="13.5">
      <c r="A317" s="33"/>
    </row>
    <row r="318" spans="1:1" ht="13.5">
      <c r="A318" s="32"/>
    </row>
    <row r="319" spans="1:1" ht="13.5">
      <c r="A319" s="32"/>
    </row>
    <row r="320" spans="1:1" ht="13.5">
      <c r="A320" s="33"/>
    </row>
    <row r="321" spans="1:1" ht="13.5">
      <c r="A321" s="32"/>
    </row>
    <row r="322" spans="1:1" ht="13.5">
      <c r="A322" s="32"/>
    </row>
    <row r="323" spans="1:1" ht="13.5">
      <c r="A323" s="33"/>
    </row>
    <row r="324" spans="1:1" ht="13.5">
      <c r="A324" s="32"/>
    </row>
    <row r="325" spans="1:1" ht="13.5">
      <c r="A325" s="32"/>
    </row>
    <row r="326" spans="1:1" ht="13.5">
      <c r="A326" s="33"/>
    </row>
    <row r="327" spans="1:1" ht="13.5">
      <c r="A327" s="32"/>
    </row>
    <row r="328" spans="1:1" ht="13.5">
      <c r="A328" s="32"/>
    </row>
    <row r="329" spans="1:1" ht="13.5">
      <c r="A329" s="33"/>
    </row>
    <row r="330" spans="1:1" ht="13.5">
      <c r="A330" s="32"/>
    </row>
    <row r="331" spans="1:1" ht="13.5">
      <c r="A331" s="32"/>
    </row>
    <row r="332" spans="1:1" ht="13.5">
      <c r="A332" s="33"/>
    </row>
    <row r="333" spans="1:1" ht="13.5">
      <c r="A333" s="32"/>
    </row>
    <row r="334" spans="1:1" ht="13.5">
      <c r="A334" s="32"/>
    </row>
    <row r="335" spans="1:1" ht="13.5">
      <c r="A335" s="33"/>
    </row>
    <row r="336" spans="1:1" ht="13.5">
      <c r="A336" s="32"/>
    </row>
    <row r="337" spans="1:1" ht="13.5">
      <c r="A337" s="32"/>
    </row>
    <row r="338" spans="1:1" ht="13.5">
      <c r="A338" s="33"/>
    </row>
    <row r="339" spans="1:1" ht="13.5">
      <c r="A339" s="32"/>
    </row>
    <row r="340" spans="1:1" ht="13.5">
      <c r="A340" s="32"/>
    </row>
    <row r="341" spans="1:1" ht="13.5">
      <c r="A341" s="33"/>
    </row>
    <row r="342" spans="1:1" ht="13.5">
      <c r="A342" s="32"/>
    </row>
    <row r="343" spans="1:1" ht="13.5">
      <c r="A343" s="32"/>
    </row>
    <row r="344" spans="1:1" ht="13.5">
      <c r="A344" s="33"/>
    </row>
    <row r="345" spans="1:1" ht="13.5">
      <c r="A345" s="32"/>
    </row>
    <row r="346" spans="1:1" ht="13.5">
      <c r="A346" s="32"/>
    </row>
    <row r="347" spans="1:1" ht="13.5">
      <c r="A347" s="33"/>
    </row>
    <row r="348" spans="1:1" ht="13.5">
      <c r="A348" s="32"/>
    </row>
    <row r="349" spans="1:1" ht="13.5">
      <c r="A349" s="32"/>
    </row>
    <row r="350" spans="1:1" ht="13.5">
      <c r="A350" s="33"/>
    </row>
    <row r="351" spans="1:1" ht="13.5">
      <c r="A351" s="32"/>
    </row>
    <row r="352" spans="1:1" ht="13.5">
      <c r="A352" s="32"/>
    </row>
    <row r="353" spans="1:1" ht="13.5">
      <c r="A353" s="33"/>
    </row>
    <row r="354" spans="1:1" ht="13.5">
      <c r="A354" s="32"/>
    </row>
    <row r="355" spans="1:1" ht="13.5">
      <c r="A355" s="32"/>
    </row>
    <row r="356" spans="1:1" ht="13.5">
      <c r="A356" s="33"/>
    </row>
    <row r="357" spans="1:1" ht="13.5">
      <c r="A357" s="32"/>
    </row>
    <row r="358" spans="1:1" ht="13.5">
      <c r="A358" s="32"/>
    </row>
    <row r="359" spans="1:1" ht="13.5">
      <c r="A359" s="33"/>
    </row>
    <row r="360" spans="1:1" ht="13.5">
      <c r="A360" s="32"/>
    </row>
    <row r="361" spans="1:1" ht="13.5">
      <c r="A361" s="32"/>
    </row>
    <row r="362" spans="1:1" ht="13.5">
      <c r="A362" s="33"/>
    </row>
    <row r="363" spans="1:1" ht="13.5">
      <c r="A363" s="32"/>
    </row>
    <row r="364" spans="1:1" ht="13.5">
      <c r="A364" s="32"/>
    </row>
    <row r="365" spans="1:1" ht="13.5">
      <c r="A365" s="33"/>
    </row>
    <row r="366" spans="1:1" ht="13.5">
      <c r="A366" s="32"/>
    </row>
    <row r="367" spans="1:1" ht="13.5">
      <c r="A367" s="32"/>
    </row>
    <row r="368" spans="1:1" ht="13.5">
      <c r="A368" s="33"/>
    </row>
    <row r="369" spans="1:1" ht="13.5">
      <c r="A369" s="32"/>
    </row>
    <row r="370" spans="1:1" ht="13.5">
      <c r="A370" s="32"/>
    </row>
    <row r="371" spans="1:1" ht="13.5">
      <c r="A371" s="33"/>
    </row>
    <row r="372" spans="1:1" ht="13.5">
      <c r="A372" s="32"/>
    </row>
    <row r="373" spans="1:1" ht="13.5">
      <c r="A373" s="32"/>
    </row>
    <row r="374" spans="1:1" ht="13.5">
      <c r="A374" s="33"/>
    </row>
    <row r="375" spans="1:1" ht="13.5">
      <c r="A375" s="32"/>
    </row>
    <row r="376" spans="1:1" ht="13.5">
      <c r="A376" s="32"/>
    </row>
    <row r="377" spans="1:1" ht="13.5">
      <c r="A377" s="33"/>
    </row>
    <row r="378" spans="1:1" ht="13.5">
      <c r="A378" s="32"/>
    </row>
    <row r="379" spans="1:1" ht="13.5">
      <c r="A379" s="32"/>
    </row>
    <row r="380" spans="1:1" ht="13.5">
      <c r="A380" s="33"/>
    </row>
    <row r="381" spans="1:1" ht="13.5">
      <c r="A381" s="32"/>
    </row>
    <row r="382" spans="1:1" ht="13.5">
      <c r="A382" s="32"/>
    </row>
    <row r="383" spans="1:1" ht="13.5">
      <c r="A383" s="33"/>
    </row>
    <row r="384" spans="1:1" ht="13.5">
      <c r="A384" s="32"/>
    </row>
    <row r="385" spans="1:1" ht="13.5">
      <c r="A385" s="32"/>
    </row>
    <row r="386" spans="1:1" ht="13.5">
      <c r="A386" s="33"/>
    </row>
    <row r="387" spans="1:1" ht="13.5">
      <c r="A387" s="32"/>
    </row>
    <row r="388" spans="1:1" ht="13.5">
      <c r="A388" s="32"/>
    </row>
    <row r="389" spans="1:1" ht="13.5">
      <c r="A389" s="33"/>
    </row>
    <row r="390" spans="1:1" ht="13.5">
      <c r="A390" s="32"/>
    </row>
    <row r="391" spans="1:1" ht="13.5">
      <c r="A391" s="32"/>
    </row>
    <row r="392" spans="1:1" ht="13.5">
      <c r="A392" s="33"/>
    </row>
    <row r="393" spans="1:1" ht="13.5">
      <c r="A393" s="32"/>
    </row>
    <row r="394" spans="1:1" ht="13.5">
      <c r="A394" s="32"/>
    </row>
    <row r="395" spans="1:1" ht="13.5">
      <c r="A395" s="33"/>
    </row>
    <row r="396" spans="1:1" ht="13.5">
      <c r="A396" s="32"/>
    </row>
    <row r="397" spans="1:1" ht="13.5">
      <c r="A397" s="32"/>
    </row>
    <row r="398" spans="1:1" ht="13.5">
      <c r="A398" s="33"/>
    </row>
    <row r="399" spans="1:1" ht="13.5">
      <c r="A399" s="32"/>
    </row>
    <row r="400" spans="1:1" ht="13.5">
      <c r="A400" s="32"/>
    </row>
    <row r="401" spans="1:1" ht="13.5">
      <c r="A401" s="33"/>
    </row>
    <row r="402" spans="1:1" ht="13.5">
      <c r="A402" s="32"/>
    </row>
    <row r="403" spans="1:1" ht="13.5">
      <c r="A403" s="32"/>
    </row>
    <row r="404" spans="1:1" ht="13.5">
      <c r="A404" s="33"/>
    </row>
    <row r="405" spans="1:1" ht="13.5">
      <c r="A405" s="32"/>
    </row>
    <row r="406" spans="1:1" ht="13.5">
      <c r="A406" s="32"/>
    </row>
    <row r="407" spans="1:1" ht="13.5">
      <c r="A407" s="33"/>
    </row>
    <row r="408" spans="1:1" ht="13.5">
      <c r="A408" s="32"/>
    </row>
    <row r="409" spans="1:1" ht="13.5">
      <c r="A409" s="32"/>
    </row>
    <row r="410" spans="1:1" ht="13.5">
      <c r="A410" s="33"/>
    </row>
    <row r="411" spans="1:1" ht="13.5">
      <c r="A411" s="32"/>
    </row>
    <row r="412" spans="1:1" ht="13.5">
      <c r="A412" s="32"/>
    </row>
    <row r="413" spans="1:1" ht="13.5">
      <c r="A413" s="33"/>
    </row>
    <row r="414" spans="1:1" ht="13.5">
      <c r="A414" s="32"/>
    </row>
    <row r="415" spans="1:1" ht="13.5">
      <c r="A415" s="32"/>
    </row>
    <row r="416" spans="1:1" ht="13.5">
      <c r="A416" s="33"/>
    </row>
    <row r="417" spans="1:1" ht="13.5">
      <c r="A417" s="32"/>
    </row>
    <row r="418" spans="1:1" ht="13.5">
      <c r="A418" s="32"/>
    </row>
    <row r="419" spans="1:1" ht="13.5">
      <c r="A419" s="33"/>
    </row>
    <row r="420" spans="1:1" ht="13.5">
      <c r="A420" s="32"/>
    </row>
    <row r="421" spans="1:1" ht="13.5">
      <c r="A421" s="32"/>
    </row>
    <row r="422" spans="1:1" ht="13.5">
      <c r="A422" s="33"/>
    </row>
    <row r="423" spans="1:1" ht="13.5">
      <c r="A423" s="32"/>
    </row>
    <row r="424" spans="1:1" ht="13.5">
      <c r="A424" s="32"/>
    </row>
    <row r="425" spans="1:1" ht="13.5">
      <c r="A425" s="33"/>
    </row>
    <row r="426" spans="1:1" ht="13.5">
      <c r="A426" s="32"/>
    </row>
    <row r="427" spans="1:1" ht="13.5">
      <c r="A427" s="32"/>
    </row>
    <row r="428" spans="1:1" ht="13.5">
      <c r="A428" s="33"/>
    </row>
    <row r="429" spans="1:1" ht="13.5">
      <c r="A429" s="32"/>
    </row>
    <row r="430" spans="1:1" ht="13.5">
      <c r="A430" s="32"/>
    </row>
    <row r="431" spans="1:1" ht="13.5">
      <c r="A431" s="33"/>
    </row>
    <row r="432" spans="1:1" ht="13.5">
      <c r="A432" s="32"/>
    </row>
    <row r="433" spans="1:1" ht="13.5">
      <c r="A433" s="32"/>
    </row>
    <row r="434" spans="1:1" ht="13.5">
      <c r="A434" s="33"/>
    </row>
    <row r="435" spans="1:1" ht="13.5">
      <c r="A435" s="32"/>
    </row>
    <row r="436" spans="1:1" ht="13.5">
      <c r="A436" s="32"/>
    </row>
    <row r="437" spans="1:1" ht="13.5">
      <c r="A437" s="33"/>
    </row>
    <row r="438" spans="1:1" ht="13.5">
      <c r="A438" s="32"/>
    </row>
    <row r="439" spans="1:1" ht="13.5">
      <c r="A439" s="32"/>
    </row>
    <row r="440" spans="1:1" ht="13.5">
      <c r="A440" s="33"/>
    </row>
    <row r="441" spans="1:1" ht="13.5">
      <c r="A441" s="32"/>
    </row>
    <row r="442" spans="1:1" ht="13.5">
      <c r="A442" s="32"/>
    </row>
    <row r="443" spans="1:1" ht="13.5">
      <c r="A443" s="33"/>
    </row>
    <row r="444" spans="1:1" ht="13.5">
      <c r="A444" s="32"/>
    </row>
    <row r="445" spans="1:1" ht="13.5">
      <c r="A445" s="32"/>
    </row>
    <row r="446" spans="1:1" ht="13.5">
      <c r="A446" s="33"/>
    </row>
    <row r="447" spans="1:1" ht="13.5">
      <c r="A447" s="32"/>
    </row>
    <row r="448" spans="1:1" ht="13.5">
      <c r="A448" s="32"/>
    </row>
    <row r="449" spans="1:1" ht="13.5">
      <c r="A449" s="33"/>
    </row>
    <row r="450" spans="1:1" ht="13.5">
      <c r="A450" s="32"/>
    </row>
    <row r="451" spans="1:1" ht="13.5">
      <c r="A451" s="32"/>
    </row>
    <row r="452" spans="1:1" ht="13.5">
      <c r="A452" s="33"/>
    </row>
    <row r="453" spans="1:1" ht="13.5">
      <c r="A453" s="32"/>
    </row>
    <row r="454" spans="1:1" ht="13.5">
      <c r="A454" s="32"/>
    </row>
    <row r="455" spans="1:1" ht="13.5">
      <c r="A455" s="33"/>
    </row>
    <row r="456" spans="1:1" ht="13.5">
      <c r="A456" s="32"/>
    </row>
    <row r="457" spans="1:1" ht="13.5">
      <c r="A457" s="32"/>
    </row>
    <row r="458" spans="1:1" ht="13.5">
      <c r="A458" s="33"/>
    </row>
    <row r="459" spans="1:1" ht="13.5">
      <c r="A459" s="32"/>
    </row>
    <row r="460" spans="1:1" ht="13.5">
      <c r="A460" s="32"/>
    </row>
    <row r="461" spans="1:1" ht="13.5">
      <c r="A461" s="33"/>
    </row>
    <row r="462" spans="1:1" ht="13.5">
      <c r="A462" s="32"/>
    </row>
    <row r="463" spans="1:1" ht="13.5">
      <c r="A463" s="32"/>
    </row>
    <row r="464" spans="1:1" ht="13.5">
      <c r="A464" s="33"/>
    </row>
    <row r="465" spans="1:1" ht="13.5">
      <c r="A465" s="32"/>
    </row>
    <row r="466" spans="1:1" ht="13.5">
      <c r="A466" s="32"/>
    </row>
    <row r="467" spans="1:1" ht="13.5">
      <c r="A467" s="33"/>
    </row>
    <row r="468" spans="1:1" ht="13.5">
      <c r="A468" s="32"/>
    </row>
    <row r="469" spans="1:1" ht="13.5">
      <c r="A469" s="32"/>
    </row>
    <row r="470" spans="1:1" ht="13.5">
      <c r="A470" s="33"/>
    </row>
    <row r="471" spans="1:1" ht="13.5">
      <c r="A471" s="32"/>
    </row>
    <row r="472" spans="1:1" ht="13.5">
      <c r="A472" s="32"/>
    </row>
    <row r="473" spans="1:1" ht="13.5">
      <c r="A473" s="33"/>
    </row>
    <row r="474" spans="1:1" ht="13.5">
      <c r="A474" s="32"/>
    </row>
    <row r="475" spans="1:1" ht="13.5">
      <c r="A475" s="32"/>
    </row>
    <row r="476" spans="1:1" ht="13.5">
      <c r="A476" s="33"/>
    </row>
    <row r="477" spans="1:1" ht="13.5">
      <c r="A477" s="32"/>
    </row>
    <row r="478" spans="1:1" ht="13.5">
      <c r="A478" s="32"/>
    </row>
    <row r="479" spans="1:1" ht="13.5">
      <c r="A479" s="33"/>
    </row>
    <row r="480" spans="1:1" ht="13.5">
      <c r="A480" s="32"/>
    </row>
    <row r="481" spans="1:1" ht="13.5">
      <c r="A481" s="32"/>
    </row>
    <row r="482" spans="1:1" ht="13.5">
      <c r="A482" s="33"/>
    </row>
    <row r="483" spans="1:1" ht="13.5">
      <c r="A483" s="32"/>
    </row>
    <row r="484" spans="1:1" ht="13.5">
      <c r="A484" s="32"/>
    </row>
    <row r="485" spans="1:1" ht="13.5">
      <c r="A485" s="33"/>
    </row>
    <row r="486" spans="1:1" ht="13.5">
      <c r="A486" s="32"/>
    </row>
    <row r="487" spans="1:1" ht="13.5">
      <c r="A487" s="32"/>
    </row>
    <row r="488" spans="1:1" ht="13.5">
      <c r="A488" s="33"/>
    </row>
    <row r="489" spans="1:1" ht="13.5">
      <c r="A489" s="32"/>
    </row>
    <row r="490" spans="1:1" ht="13.5">
      <c r="A490" s="32"/>
    </row>
    <row r="491" spans="1:1" ht="13.5">
      <c r="A491" s="33"/>
    </row>
    <row r="492" spans="1:1" ht="13.5">
      <c r="A492" s="32"/>
    </row>
    <row r="493" spans="1:1" ht="13.5">
      <c r="A493" s="32"/>
    </row>
    <row r="494" spans="1:1" ht="13.5">
      <c r="A494" s="33"/>
    </row>
    <row r="495" spans="1:1" ht="13.5">
      <c r="A495" s="32"/>
    </row>
    <row r="496" spans="1:1" ht="13.5">
      <c r="A496" s="32"/>
    </row>
    <row r="497" spans="1:1" ht="13.5">
      <c r="A497" s="33"/>
    </row>
    <row r="498" spans="1:1" ht="13.5">
      <c r="A498" s="32"/>
    </row>
    <row r="499" spans="1:1" ht="13.5">
      <c r="A499" s="32"/>
    </row>
    <row r="500" spans="1:1" ht="13.5">
      <c r="A500" s="33"/>
    </row>
    <row r="501" spans="1:1" ht="13.5">
      <c r="A501" s="32"/>
    </row>
    <row r="502" spans="1:1" ht="13.5">
      <c r="A502" s="32"/>
    </row>
    <row r="503" spans="1:1" ht="13.5">
      <c r="A503" s="33"/>
    </row>
    <row r="504" spans="1:1" ht="13.5">
      <c r="A504" s="32"/>
    </row>
    <row r="505" spans="1:1" ht="13.5">
      <c r="A505" s="32"/>
    </row>
    <row r="506" spans="1:1" ht="13.5">
      <c r="A506" s="33"/>
    </row>
    <row r="507" spans="1:1" ht="13.5">
      <c r="A507" s="32"/>
    </row>
    <row r="508" spans="1:1" ht="13.5">
      <c r="A508" s="32"/>
    </row>
    <row r="509" spans="1:1" ht="13.5">
      <c r="A509" s="33"/>
    </row>
    <row r="510" spans="1:1" ht="13.5">
      <c r="A510" s="32"/>
    </row>
    <row r="511" spans="1:1" ht="13.5">
      <c r="A511" s="32"/>
    </row>
    <row r="512" spans="1:1" ht="13.5">
      <c r="A512" s="33"/>
    </row>
    <row r="513" spans="1:1" ht="13.5">
      <c r="A513" s="32"/>
    </row>
    <row r="514" spans="1:1" ht="13.5">
      <c r="A514" s="32"/>
    </row>
    <row r="515" spans="1:1" ht="13.5">
      <c r="A515" s="33"/>
    </row>
    <row r="516" spans="1:1" ht="13.5">
      <c r="A516" s="32"/>
    </row>
    <row r="517" spans="1:1" ht="13.5">
      <c r="A517" s="32"/>
    </row>
    <row r="518" spans="1:1" ht="13.5">
      <c r="A518" s="33"/>
    </row>
    <row r="519" spans="1:1" ht="13.5">
      <c r="A519" s="32"/>
    </row>
    <row r="520" spans="1:1" ht="13.5">
      <c r="A520" s="32"/>
    </row>
    <row r="521" spans="1:1" ht="13.5">
      <c r="A521" s="33"/>
    </row>
    <row r="522" spans="1:1" ht="13.5">
      <c r="A522" s="32"/>
    </row>
    <row r="523" spans="1:1" ht="13.5">
      <c r="A523" s="32"/>
    </row>
    <row r="524" spans="1:1" ht="13.5">
      <c r="A524" s="33"/>
    </row>
    <row r="525" spans="1:1" ht="13.5">
      <c r="A525" s="32"/>
    </row>
    <row r="526" spans="1:1" ht="13.5">
      <c r="A526" s="32"/>
    </row>
    <row r="527" spans="1:1" ht="13.5">
      <c r="A527" s="33"/>
    </row>
    <row r="528" spans="1:1" ht="13.5">
      <c r="A528" s="32"/>
    </row>
    <row r="529" spans="1:1" ht="13.5">
      <c r="A529" s="32"/>
    </row>
    <row r="530" spans="1:1" ht="13.5">
      <c r="A530" s="33"/>
    </row>
    <row r="531" spans="1:1" ht="13.5">
      <c r="A531" s="32"/>
    </row>
    <row r="532" spans="1:1" ht="13.5">
      <c r="A532" s="32"/>
    </row>
    <row r="533" spans="1:1" ht="13.5">
      <c r="A533" s="33"/>
    </row>
    <row r="534" spans="1:1" ht="13.5">
      <c r="A534" s="32"/>
    </row>
    <row r="535" spans="1:1" ht="13.5">
      <c r="A535" s="32"/>
    </row>
    <row r="536" spans="1:1" ht="13.5">
      <c r="A536" s="33"/>
    </row>
    <row r="537" spans="1:1" ht="13.5">
      <c r="A537" s="32"/>
    </row>
    <row r="538" spans="1:1" ht="13.5">
      <c r="A538" s="32"/>
    </row>
    <row r="539" spans="1:1" ht="13.5">
      <c r="A539" s="33"/>
    </row>
    <row r="540" spans="1:1" ht="13.5">
      <c r="A540" s="32"/>
    </row>
    <row r="541" spans="1:1" ht="13.5">
      <c r="A541" s="32"/>
    </row>
    <row r="542" spans="1:1" ht="13.5">
      <c r="A542" s="33"/>
    </row>
    <row r="543" spans="1:1" ht="13.5">
      <c r="A543" s="32"/>
    </row>
    <row r="544" spans="1:1" ht="13.5">
      <c r="A544" s="32"/>
    </row>
    <row r="545" spans="1:1" ht="13.5">
      <c r="A545" s="33"/>
    </row>
    <row r="546" spans="1:1" ht="13.5">
      <c r="A546" s="32"/>
    </row>
    <row r="547" spans="1:1" ht="13.5">
      <c r="A547" s="32"/>
    </row>
    <row r="548" spans="1:1" ht="13.5">
      <c r="A548" s="33"/>
    </row>
    <row r="549" spans="1:1" ht="13.5">
      <c r="A549" s="32"/>
    </row>
    <row r="550" spans="1:1" ht="13.5">
      <c r="A550" s="32"/>
    </row>
    <row r="551" spans="1:1" ht="13.5">
      <c r="A551" s="33"/>
    </row>
    <row r="552" spans="1:1" ht="13.5">
      <c r="A552" s="32"/>
    </row>
    <row r="553" spans="1:1" ht="13.5">
      <c r="A553" s="32"/>
    </row>
    <row r="554" spans="1:1" ht="13.5">
      <c r="A554" s="33"/>
    </row>
    <row r="555" spans="1:1" ht="13.5">
      <c r="A555" s="32"/>
    </row>
    <row r="556" spans="1:1" ht="13.5">
      <c r="A556" s="32"/>
    </row>
    <row r="557" spans="1:1" ht="13.5">
      <c r="A557" s="33"/>
    </row>
    <row r="558" spans="1:1" ht="13.5">
      <c r="A558" s="32"/>
    </row>
    <row r="559" spans="1:1" ht="13.5">
      <c r="A559" s="32"/>
    </row>
    <row r="560" spans="1:1" ht="13.5">
      <c r="A560" s="33"/>
    </row>
    <row r="561" spans="1:1" ht="13.5">
      <c r="A561" s="32"/>
    </row>
    <row r="562" spans="1:1" ht="13.5">
      <c r="A562" s="32"/>
    </row>
    <row r="563" spans="1:1" ht="13.5">
      <c r="A563" s="33"/>
    </row>
    <row r="564" spans="1:1" ht="13.5">
      <c r="A564" s="32"/>
    </row>
    <row r="565" spans="1:1" ht="13.5">
      <c r="A565" s="32"/>
    </row>
    <row r="566" spans="1:1" ht="13.5">
      <c r="A566" s="33"/>
    </row>
    <row r="567" spans="1:1" ht="13.5">
      <c r="A567" s="32"/>
    </row>
    <row r="568" spans="1:1" ht="13.5">
      <c r="A568" s="32"/>
    </row>
    <row r="569" spans="1:1" ht="13.5">
      <c r="A569" s="33"/>
    </row>
    <row r="570" spans="1:1" ht="13.5">
      <c r="A570" s="32"/>
    </row>
    <row r="571" spans="1:1" ht="13.5">
      <c r="A571" s="32"/>
    </row>
    <row r="572" spans="1:1" ht="13.5">
      <c r="A572" s="33"/>
    </row>
    <row r="573" spans="1:1" ht="13.5">
      <c r="A573" s="32"/>
    </row>
    <row r="574" spans="1:1" ht="13.5">
      <c r="A574" s="32"/>
    </row>
    <row r="575" spans="1:1" ht="13.5">
      <c r="A575" s="33"/>
    </row>
    <row r="576" spans="1:1" ht="13.5">
      <c r="A576" s="32"/>
    </row>
    <row r="577" spans="1:1" ht="13.5">
      <c r="A577" s="32"/>
    </row>
    <row r="578" spans="1:1" ht="13.5">
      <c r="A578" s="33"/>
    </row>
    <row r="579" spans="1:1" ht="13.5">
      <c r="A579" s="32"/>
    </row>
    <row r="580" spans="1:1" ht="13.5">
      <c r="A580" s="32"/>
    </row>
    <row r="581" spans="1:1" ht="13.5">
      <c r="A581" s="33"/>
    </row>
    <row r="582" spans="1:1" ht="13.5">
      <c r="A582" s="32"/>
    </row>
    <row r="583" spans="1:1" ht="13.5">
      <c r="A583" s="32"/>
    </row>
    <row r="584" spans="1:1" ht="13.5">
      <c r="A584" s="33"/>
    </row>
    <row r="585" spans="1:1" ht="13.5">
      <c r="A585" s="32"/>
    </row>
    <row r="586" spans="1:1" ht="13.5">
      <c r="A586" s="32"/>
    </row>
    <row r="587" spans="1:1" ht="13.5">
      <c r="A587" s="33"/>
    </row>
    <row r="588" spans="1:1" ht="13.5">
      <c r="A588" s="32"/>
    </row>
    <row r="589" spans="1:1" ht="13.5">
      <c r="A589" s="32"/>
    </row>
    <row r="590" spans="1:1" ht="13.5">
      <c r="A590" s="33"/>
    </row>
    <row r="591" spans="1:1" ht="13.5">
      <c r="A591" s="32"/>
    </row>
    <row r="592" spans="1:1" ht="13.5">
      <c r="A592" s="32"/>
    </row>
    <row r="593" spans="1:1" ht="13.5">
      <c r="A593" s="33"/>
    </row>
    <row r="594" spans="1:1" ht="13.5">
      <c r="A594" s="32"/>
    </row>
    <row r="595" spans="1:1" ht="13.5">
      <c r="A595" s="32"/>
    </row>
    <row r="596" spans="1:1" ht="13.5">
      <c r="A596" s="33"/>
    </row>
    <row r="597" spans="1:1" ht="13.5">
      <c r="A597" s="32"/>
    </row>
    <row r="598" spans="1:1" ht="13.5">
      <c r="A598" s="32"/>
    </row>
    <row r="599" spans="1:1" ht="13.5">
      <c r="A599" s="33"/>
    </row>
    <row r="600" spans="1:1" ht="13.5">
      <c r="A600" s="32"/>
    </row>
    <row r="601" spans="1:1" ht="13.5">
      <c r="A601" s="32"/>
    </row>
    <row r="602" spans="1:1" ht="13.5">
      <c r="A602" s="33"/>
    </row>
    <row r="603" spans="1:1" ht="13.5">
      <c r="A603" s="32"/>
    </row>
    <row r="604" spans="1:1" ht="13.5">
      <c r="A604" s="32"/>
    </row>
    <row r="605" spans="1:1" ht="13.5">
      <c r="A605" s="33"/>
    </row>
    <row r="606" spans="1:1" ht="13.5">
      <c r="A606" s="32"/>
    </row>
    <row r="607" spans="1:1" ht="13.5">
      <c r="A607" s="32"/>
    </row>
    <row r="608" spans="1:1" ht="13.5">
      <c r="A608" s="33"/>
    </row>
    <row r="609" spans="1:1" ht="13.5">
      <c r="A609" s="32"/>
    </row>
    <row r="610" spans="1:1" ht="13.5">
      <c r="A610" s="32"/>
    </row>
    <row r="611" spans="1:1" ht="13.5">
      <c r="A611" s="33"/>
    </row>
    <row r="612" spans="1:1" ht="13.5">
      <c r="A612" s="32"/>
    </row>
    <row r="613" spans="1:1" ht="13.5">
      <c r="A613" s="32"/>
    </row>
    <row r="614" spans="1:1" ht="13.5">
      <c r="A614" s="33"/>
    </row>
    <row r="615" spans="1:1" ht="13.5">
      <c r="A615" s="32"/>
    </row>
    <row r="616" spans="1:1" ht="13.5">
      <c r="A616" s="32"/>
    </row>
    <row r="617" spans="1:1" ht="13.5">
      <c r="A617" s="33"/>
    </row>
    <row r="618" spans="1:1" ht="13.5">
      <c r="A618" s="32"/>
    </row>
    <row r="619" spans="1:1" ht="13.5">
      <c r="A619" s="32"/>
    </row>
    <row r="620" spans="1:1" ht="13.5">
      <c r="A620" s="33"/>
    </row>
    <row r="621" spans="1:1" ht="13.5">
      <c r="A621" s="32"/>
    </row>
    <row r="622" spans="1:1" ht="13.5">
      <c r="A622" s="32"/>
    </row>
    <row r="623" spans="1:1" ht="13.5">
      <c r="A623" s="33"/>
    </row>
    <row r="624" spans="1:1" ht="13.5">
      <c r="A624" s="32"/>
    </row>
    <row r="625" spans="1:1" ht="13.5">
      <c r="A625" s="32"/>
    </row>
    <row r="626" spans="1:1" ht="13.5">
      <c r="A626" s="33"/>
    </row>
    <row r="627" spans="1:1" ht="13.5">
      <c r="A627" s="32"/>
    </row>
    <row r="628" spans="1:1" ht="13.5">
      <c r="A628" s="32"/>
    </row>
    <row r="629" spans="1:1" ht="13.5">
      <c r="A629" s="33"/>
    </row>
    <row r="630" spans="1:1" ht="13.5">
      <c r="A630" s="32"/>
    </row>
    <row r="631" spans="1:1" ht="13.5">
      <c r="A631" s="32"/>
    </row>
    <row r="632" spans="1:1" ht="13.5">
      <c r="A632" s="33"/>
    </row>
    <row r="633" spans="1:1" ht="13.5">
      <c r="A633" s="32"/>
    </row>
    <row r="634" spans="1:1" ht="13.5">
      <c r="A634" s="32"/>
    </row>
    <row r="635" spans="1:1" ht="13.5">
      <c r="A635" s="33"/>
    </row>
    <row r="636" spans="1:1" ht="13.5">
      <c r="A636" s="32"/>
    </row>
    <row r="637" spans="1:1" ht="13.5">
      <c r="A637" s="32"/>
    </row>
    <row r="638" spans="1:1" ht="13.5">
      <c r="A638" s="33"/>
    </row>
    <row r="639" spans="1:1" ht="13.5">
      <c r="A639" s="32"/>
    </row>
    <row r="640" spans="1:1" ht="13.5">
      <c r="A640" s="32"/>
    </row>
    <row r="641" spans="1:1" ht="13.5">
      <c r="A641" s="33"/>
    </row>
    <row r="642" spans="1:1" ht="13.5">
      <c r="A642" s="32"/>
    </row>
    <row r="643" spans="1:1" ht="13.5">
      <c r="A643" s="32"/>
    </row>
    <row r="644" spans="1:1" ht="13.5">
      <c r="A644" s="33"/>
    </row>
    <row r="645" spans="1:1" ht="13.5">
      <c r="A645" s="32"/>
    </row>
    <row r="646" spans="1:1" ht="13.5">
      <c r="A646" s="32"/>
    </row>
    <row r="647" spans="1:1" ht="13.5">
      <c r="A647" s="33"/>
    </row>
    <row r="648" spans="1:1" ht="13.5">
      <c r="A648" s="32"/>
    </row>
    <row r="649" spans="1:1" ht="13.5">
      <c r="A649" s="32"/>
    </row>
    <row r="650" spans="1:1" ht="13.5">
      <c r="A650" s="33"/>
    </row>
    <row r="651" spans="1:1" ht="13.5">
      <c r="A651" s="32"/>
    </row>
    <row r="652" spans="1:1" ht="13.5">
      <c r="A652" s="32"/>
    </row>
    <row r="653" spans="1:1" ht="13.5">
      <c r="A653" s="33"/>
    </row>
    <row r="654" spans="1:1" ht="13.5">
      <c r="A654" s="32"/>
    </row>
    <row r="655" spans="1:1" ht="13.5">
      <c r="A655" s="32"/>
    </row>
    <row r="656" spans="1:1" ht="13.5">
      <c r="A656" s="33"/>
    </row>
    <row r="657" spans="1:1" ht="13.5">
      <c r="A657" s="32"/>
    </row>
    <row r="658" spans="1:1" ht="13.5">
      <c r="A658" s="32"/>
    </row>
    <row r="659" spans="1:1" ht="13.5">
      <c r="A659" s="33"/>
    </row>
    <row r="660" spans="1:1" ht="13.5">
      <c r="A660" s="32"/>
    </row>
    <row r="661" spans="1:1" ht="13.5">
      <c r="A661" s="32"/>
    </row>
    <row r="662" spans="1:1" ht="13.5">
      <c r="A662" s="33"/>
    </row>
    <row r="663" spans="1:1" ht="13.5">
      <c r="A663" s="32"/>
    </row>
    <row r="664" spans="1:1" ht="13.5">
      <c r="A664" s="32"/>
    </row>
    <row r="665" spans="1:1" ht="13.5">
      <c r="A665" s="33"/>
    </row>
    <row r="666" spans="1:1" ht="13.5">
      <c r="A666" s="32"/>
    </row>
    <row r="667" spans="1:1" ht="13.5">
      <c r="A667" s="32"/>
    </row>
    <row r="668" spans="1:1" ht="13.5">
      <c r="A668" s="33"/>
    </row>
    <row r="669" spans="1:1" ht="13.5">
      <c r="A669" s="32"/>
    </row>
    <row r="670" spans="1:1" ht="13.5">
      <c r="A670" s="32"/>
    </row>
    <row r="671" spans="1:1" ht="13.5">
      <c r="A671" s="33"/>
    </row>
    <row r="672" spans="1:1" ht="13.5">
      <c r="A672" s="32"/>
    </row>
    <row r="673" spans="1:1" ht="13.5">
      <c r="A673" s="32"/>
    </row>
    <row r="674" spans="1:1" ht="13.5">
      <c r="A674" s="33"/>
    </row>
    <row r="675" spans="1:1" ht="13.5">
      <c r="A675" s="32"/>
    </row>
    <row r="676" spans="1:1" ht="13.5">
      <c r="A676" s="32"/>
    </row>
    <row r="677" spans="1:1" ht="13.5">
      <c r="A677" s="33"/>
    </row>
    <row r="678" spans="1:1" ht="13.5">
      <c r="A678" s="32"/>
    </row>
    <row r="679" spans="1:1" ht="13.5">
      <c r="A679" s="32"/>
    </row>
    <row r="680" spans="1:1" ht="13.5">
      <c r="A680" s="33"/>
    </row>
    <row r="681" spans="1:1" ht="13.5">
      <c r="A681" s="32"/>
    </row>
    <row r="682" spans="1:1" ht="13.5">
      <c r="A682" s="32"/>
    </row>
    <row r="683" spans="1:1" ht="13.5">
      <c r="A683" s="33"/>
    </row>
    <row r="684" spans="1:1" ht="13.5">
      <c r="A684" s="32"/>
    </row>
    <row r="685" spans="1:1" ht="13.5">
      <c r="A685" s="32"/>
    </row>
    <row r="686" spans="1:1" ht="13.5">
      <c r="A686" s="33"/>
    </row>
    <row r="687" spans="1:1" ht="13.5">
      <c r="A687" s="32"/>
    </row>
    <row r="688" spans="1:1" ht="13.5">
      <c r="A688" s="32"/>
    </row>
    <row r="689" spans="1:1" ht="13.5">
      <c r="A689" s="33"/>
    </row>
    <row r="690" spans="1:1" ht="13.5">
      <c r="A690" s="32"/>
    </row>
    <row r="691" spans="1:1" ht="13.5">
      <c r="A691" s="32"/>
    </row>
    <row r="692" spans="1:1" ht="13.5">
      <c r="A692" s="33"/>
    </row>
    <row r="693" spans="1:1" ht="13.5">
      <c r="A693" s="32"/>
    </row>
    <row r="694" spans="1:1" ht="13.5">
      <c r="A694" s="32"/>
    </row>
    <row r="695" spans="1:1" ht="13.5">
      <c r="A695" s="33"/>
    </row>
    <row r="696" spans="1:1" ht="13.5">
      <c r="A696" s="32"/>
    </row>
    <row r="697" spans="1:1" ht="13.5">
      <c r="A697" s="32"/>
    </row>
    <row r="698" spans="1:1" ht="13.5">
      <c r="A698" s="33"/>
    </row>
    <row r="699" spans="1:1" ht="13.5">
      <c r="A699" s="32"/>
    </row>
    <row r="700" spans="1:1" ht="13.5">
      <c r="A700" s="32"/>
    </row>
    <row r="701" spans="1:1" ht="13.5">
      <c r="A701" s="33"/>
    </row>
    <row r="702" spans="1:1" ht="13.5">
      <c r="A702" s="32"/>
    </row>
    <row r="703" spans="1:1" ht="13.5">
      <c r="A703" s="32"/>
    </row>
    <row r="704" spans="1:1" ht="13.5">
      <c r="A704" s="33"/>
    </row>
    <row r="705" spans="1:1" ht="13.5">
      <c r="A705" s="32"/>
    </row>
    <row r="706" spans="1:1" ht="13.5">
      <c r="A706" s="32"/>
    </row>
    <row r="707" spans="1:1" ht="13.5">
      <c r="A707" s="33"/>
    </row>
    <row r="708" spans="1:1" ht="13.5">
      <c r="A708" s="32"/>
    </row>
    <row r="709" spans="1:1" ht="13.5">
      <c r="A709" s="32"/>
    </row>
    <row r="710" spans="1:1" ht="13.5">
      <c r="A710" s="33"/>
    </row>
    <row r="711" spans="1:1" ht="13.5">
      <c r="A711" s="32"/>
    </row>
    <row r="712" spans="1:1" ht="13.5">
      <c r="A712" s="32"/>
    </row>
    <row r="713" spans="1:1" ht="13.5">
      <c r="A713" s="33"/>
    </row>
    <row r="714" spans="1:1" ht="13.5">
      <c r="A714" s="32"/>
    </row>
    <row r="715" spans="1:1" ht="13.5">
      <c r="A715" s="32"/>
    </row>
    <row r="716" spans="1:1" ht="13.5">
      <c r="A716" s="33"/>
    </row>
    <row r="717" spans="1:1" ht="13.5">
      <c r="A717" s="32"/>
    </row>
    <row r="718" spans="1:1" ht="13.5">
      <c r="A718" s="32"/>
    </row>
    <row r="719" spans="1:1" ht="13.5">
      <c r="A719" s="33"/>
    </row>
    <row r="720" spans="1:1" ht="13.5">
      <c r="A720" s="32"/>
    </row>
    <row r="721" spans="1:1" ht="13.5">
      <c r="A721" s="32"/>
    </row>
    <row r="722" spans="1:1" ht="13.5">
      <c r="A722" s="33"/>
    </row>
    <row r="723" spans="1:1" ht="13.5">
      <c r="A723" s="32"/>
    </row>
    <row r="724" spans="1:1" ht="13.5">
      <c r="A724" s="32"/>
    </row>
    <row r="725" spans="1:1" ht="13.5">
      <c r="A725" s="33"/>
    </row>
    <row r="726" spans="1:1" ht="13.5">
      <c r="A726" s="32"/>
    </row>
    <row r="727" spans="1:1" ht="13.5">
      <c r="A727" s="32"/>
    </row>
    <row r="728" spans="1:1" ht="13.5">
      <c r="A728" s="33"/>
    </row>
    <row r="729" spans="1:1" ht="13.5">
      <c r="A729" s="32"/>
    </row>
    <row r="730" spans="1:1" ht="13.5">
      <c r="A730" s="32"/>
    </row>
    <row r="731" spans="1:1" ht="13.5">
      <c r="A731" s="33"/>
    </row>
    <row r="732" spans="1:1" ht="13.5">
      <c r="A732" s="32"/>
    </row>
    <row r="733" spans="1:1" ht="13.5">
      <c r="A733" s="32"/>
    </row>
    <row r="734" spans="1:1" ht="13.5">
      <c r="A734" s="33"/>
    </row>
    <row r="735" spans="1:1" ht="13.5">
      <c r="A735" s="32"/>
    </row>
    <row r="736" spans="1:1" ht="13.5">
      <c r="A736" s="32"/>
    </row>
    <row r="737" spans="1:1" ht="13.5">
      <c r="A737" s="33"/>
    </row>
    <row r="738" spans="1:1" ht="13.5">
      <c r="A738" s="32"/>
    </row>
    <row r="739" spans="1:1" ht="13.5">
      <c r="A739" s="32"/>
    </row>
    <row r="740" spans="1:1" ht="13.5">
      <c r="A740" s="33"/>
    </row>
    <row r="741" spans="1:1" ht="13.5">
      <c r="A741" s="32"/>
    </row>
    <row r="742" spans="1:1" ht="13.5">
      <c r="A742" s="32"/>
    </row>
    <row r="743" spans="1:1" ht="13.5">
      <c r="A743" s="33"/>
    </row>
    <row r="744" spans="1:1" ht="13.5">
      <c r="A744" s="32"/>
    </row>
    <row r="745" spans="1:1" ht="13.5">
      <c r="A745" s="32"/>
    </row>
    <row r="746" spans="1:1" ht="13.5">
      <c r="A746" s="33"/>
    </row>
    <row r="747" spans="1:1" ht="13.5">
      <c r="A747" s="32"/>
    </row>
    <row r="748" spans="1:1" ht="13.5">
      <c r="A748" s="32"/>
    </row>
    <row r="749" spans="1:1" ht="13.5">
      <c r="A749" s="33"/>
    </row>
    <row r="750" spans="1:1" ht="13.5">
      <c r="A750" s="32"/>
    </row>
    <row r="751" spans="1:1" ht="13.5">
      <c r="A751" s="32"/>
    </row>
    <row r="752" spans="1:1" ht="13.5">
      <c r="A752" s="33"/>
    </row>
    <row r="753" spans="1:1" ht="13.5">
      <c r="A753" s="32"/>
    </row>
    <row r="754" spans="1:1" ht="13.5">
      <c r="A754" s="32"/>
    </row>
    <row r="755" spans="1:1" ht="13.5">
      <c r="A755" s="33"/>
    </row>
    <row r="756" spans="1:1" ht="13.5">
      <c r="A756" s="32"/>
    </row>
    <row r="757" spans="1:1" ht="13.5">
      <c r="A757" s="32"/>
    </row>
    <row r="758" spans="1:1" ht="13.5">
      <c r="A758" s="33"/>
    </row>
    <row r="759" spans="1:1" ht="13.5">
      <c r="A759" s="32"/>
    </row>
    <row r="760" spans="1:1" ht="13.5">
      <c r="A760" s="32"/>
    </row>
    <row r="761" spans="1:1" ht="13.5">
      <c r="A761" s="33"/>
    </row>
    <row r="762" spans="1:1" ht="13.5">
      <c r="A762" s="32"/>
    </row>
    <row r="763" spans="1:1" ht="13.5">
      <c r="A763" s="32"/>
    </row>
    <row r="764" spans="1:1" ht="13.5">
      <c r="A764" s="33"/>
    </row>
    <row r="765" spans="1:1" ht="13.5">
      <c r="A765" s="32"/>
    </row>
    <row r="766" spans="1:1" ht="13.5">
      <c r="A766" s="32"/>
    </row>
    <row r="767" spans="1:1" ht="13.5">
      <c r="A767" s="33"/>
    </row>
    <row r="768" spans="1:1" ht="13.5">
      <c r="A768" s="32"/>
    </row>
    <row r="769" spans="1:1" ht="13.5">
      <c r="A769" s="32"/>
    </row>
    <row r="770" spans="1:1" ht="13.5">
      <c r="A770" s="33"/>
    </row>
    <row r="771" spans="1:1" ht="13.5">
      <c r="A771" s="32"/>
    </row>
    <row r="772" spans="1:1" ht="13.5">
      <c r="A772" s="32"/>
    </row>
    <row r="773" spans="1:1" ht="13.5">
      <c r="A773" s="33"/>
    </row>
    <row r="774" spans="1:1" ht="13.5">
      <c r="A774" s="32"/>
    </row>
    <row r="775" spans="1:1" ht="13.5">
      <c r="A775" s="32"/>
    </row>
    <row r="776" spans="1:1" ht="13.5">
      <c r="A776" s="33"/>
    </row>
    <row r="777" spans="1:1" ht="13.5">
      <c r="A777" s="32"/>
    </row>
    <row r="778" spans="1:1" ht="13.5">
      <c r="A778" s="32"/>
    </row>
    <row r="779" spans="1:1" ht="13.5">
      <c r="A779" s="33"/>
    </row>
    <row r="780" spans="1:1" ht="13.5">
      <c r="A780" s="32"/>
    </row>
    <row r="781" spans="1:1" ht="13.5">
      <c r="A781" s="32"/>
    </row>
    <row r="782" spans="1:1" ht="13.5">
      <c r="A782" s="33"/>
    </row>
    <row r="783" spans="1:1" ht="13.5">
      <c r="A783" s="32"/>
    </row>
    <row r="784" spans="1:1" ht="13.5">
      <c r="A784" s="32"/>
    </row>
    <row r="785" spans="1:1" ht="13.5">
      <c r="A785" s="33"/>
    </row>
    <row r="786" spans="1:1" ht="13.5">
      <c r="A786" s="32"/>
    </row>
    <row r="787" spans="1:1" ht="13.5">
      <c r="A787" s="32"/>
    </row>
    <row r="788" spans="1:1" ht="13.5">
      <c r="A788" s="33"/>
    </row>
    <row r="789" spans="1:1" ht="13.5">
      <c r="A789" s="32"/>
    </row>
    <row r="790" spans="1:1" ht="13.5">
      <c r="A790" s="32"/>
    </row>
    <row r="791" spans="1:1" ht="13.5">
      <c r="A791" s="33"/>
    </row>
    <row r="792" spans="1:1" ht="13.5">
      <c r="A792" s="32"/>
    </row>
    <row r="793" spans="1:1" ht="13.5">
      <c r="A793" s="32"/>
    </row>
    <row r="794" spans="1:1" ht="13.5">
      <c r="A794" s="33"/>
    </row>
    <row r="795" spans="1:1" ht="13.5">
      <c r="A795" s="32"/>
    </row>
    <row r="796" spans="1:1" ht="13.5">
      <c r="A796" s="32"/>
    </row>
    <row r="797" spans="1:1" ht="13.5">
      <c r="A797" s="33"/>
    </row>
    <row r="798" spans="1:1" ht="13.5">
      <c r="A798" s="32"/>
    </row>
    <row r="799" spans="1:1" ht="13.5">
      <c r="A799" s="32"/>
    </row>
    <row r="800" spans="1:1" ht="13.5">
      <c r="A800" s="33"/>
    </row>
    <row r="801" spans="1:1" ht="13.5">
      <c r="A801" s="32"/>
    </row>
    <row r="802" spans="1:1" ht="13.5">
      <c r="A802" s="32"/>
    </row>
    <row r="803" spans="1:1" ht="13.5">
      <c r="A803" s="33"/>
    </row>
    <row r="804" spans="1:1" ht="13.5">
      <c r="A804" s="32"/>
    </row>
    <row r="805" spans="1:1" ht="13.5">
      <c r="A805" s="32"/>
    </row>
    <row r="806" spans="1:1" ht="13.5">
      <c r="A806" s="33"/>
    </row>
    <row r="807" spans="1:1" ht="13.5">
      <c r="A807" s="32"/>
    </row>
    <row r="808" spans="1:1" ht="13.5">
      <c r="A808" s="32"/>
    </row>
    <row r="809" spans="1:1" ht="13.5">
      <c r="A809" s="33"/>
    </row>
    <row r="810" spans="1:1" ht="13.5">
      <c r="A810" s="32"/>
    </row>
    <row r="811" spans="1:1" ht="13.5">
      <c r="A811" s="32"/>
    </row>
    <row r="812" spans="1:1" ht="13.5">
      <c r="A812" s="33"/>
    </row>
    <row r="813" spans="1:1" ht="13.5">
      <c r="A813" s="32"/>
    </row>
    <row r="814" spans="1:1" ht="13.5">
      <c r="A814" s="32"/>
    </row>
    <row r="815" spans="1:1" ht="13.5">
      <c r="A815" s="33"/>
    </row>
    <row r="816" spans="1:1" ht="13.5">
      <c r="A816" s="32"/>
    </row>
    <row r="817" spans="1:1" ht="13.5">
      <c r="A817" s="32"/>
    </row>
    <row r="818" spans="1:1" ht="13.5">
      <c r="A818" s="33"/>
    </row>
    <row r="819" spans="1:1" ht="13.5">
      <c r="A819" s="32"/>
    </row>
    <row r="820" spans="1:1" ht="13.5">
      <c r="A820" s="32"/>
    </row>
    <row r="821" spans="1:1" ht="13.5">
      <c r="A821" s="33"/>
    </row>
    <row r="822" spans="1:1" ht="13.5">
      <c r="A822" s="32"/>
    </row>
    <row r="823" spans="1:1" ht="13.5">
      <c r="A823" s="32"/>
    </row>
    <row r="824" spans="1:1" ht="13.5">
      <c r="A824" s="33"/>
    </row>
    <row r="825" spans="1:1" ht="13.5">
      <c r="A825" s="32"/>
    </row>
    <row r="826" spans="1:1" ht="13.5">
      <c r="A826" s="32"/>
    </row>
    <row r="827" spans="1:1" ht="13.5">
      <c r="A827" s="33"/>
    </row>
    <row r="828" spans="1:1" ht="13.5">
      <c r="A828" s="32"/>
    </row>
    <row r="829" spans="1:1" ht="13.5">
      <c r="A829" s="32"/>
    </row>
    <row r="830" spans="1:1" ht="13.5">
      <c r="A830" s="33"/>
    </row>
    <row r="831" spans="1:1" ht="13.5">
      <c r="A831" s="32"/>
    </row>
    <row r="832" spans="1:1" ht="13.5">
      <c r="A832" s="32"/>
    </row>
    <row r="833" spans="1:1" ht="13.5">
      <c r="A833" s="33"/>
    </row>
    <row r="834" spans="1:1" ht="13.5">
      <c r="A834" s="32"/>
    </row>
    <row r="835" spans="1:1" ht="13.5">
      <c r="A835" s="32"/>
    </row>
    <row r="836" spans="1:1" ht="13.5">
      <c r="A836" s="33"/>
    </row>
    <row r="837" spans="1:1" ht="13.5">
      <c r="A837" s="32"/>
    </row>
    <row r="838" spans="1:1" ht="13.5">
      <c r="A838" s="32"/>
    </row>
    <row r="839" spans="1:1" ht="13.5">
      <c r="A839" s="33"/>
    </row>
    <row r="840" spans="1:1" ht="13.5">
      <c r="A840" s="32"/>
    </row>
    <row r="841" spans="1:1" ht="13.5">
      <c r="A841" s="32"/>
    </row>
    <row r="842" spans="1:1" ht="13.5">
      <c r="A842" s="33"/>
    </row>
    <row r="843" spans="1:1" ht="13.5">
      <c r="A843" s="32"/>
    </row>
    <row r="844" spans="1:1" ht="13.5">
      <c r="A844" s="32"/>
    </row>
    <row r="845" spans="1:1" ht="13.5">
      <c r="A845" s="33"/>
    </row>
    <row r="846" spans="1:1" ht="13.5">
      <c r="A846" s="32"/>
    </row>
    <row r="847" spans="1:1" ht="13.5">
      <c r="A847" s="32"/>
    </row>
    <row r="848" spans="1:1" ht="13.5">
      <c r="A848" s="33"/>
    </row>
    <row r="849" spans="1:1" ht="13.5">
      <c r="A849" s="32"/>
    </row>
    <row r="850" spans="1:1" ht="13.5">
      <c r="A850" s="32"/>
    </row>
    <row r="851" spans="1:1" ht="13.5">
      <c r="A851" s="33"/>
    </row>
    <row r="852" spans="1:1" ht="13.5">
      <c r="A852" s="32"/>
    </row>
    <row r="853" spans="1:1" ht="13.5">
      <c r="A853" s="32"/>
    </row>
    <row r="854" spans="1:1" ht="13.5">
      <c r="A854" s="33"/>
    </row>
    <row r="855" spans="1:1" ht="13.5">
      <c r="A855" s="32"/>
    </row>
    <row r="856" spans="1:1" ht="13.5">
      <c r="A856" s="32"/>
    </row>
    <row r="857" spans="1:1" ht="13.5">
      <c r="A857" s="33"/>
    </row>
    <row r="858" spans="1:1" ht="13.5">
      <c r="A858" s="32"/>
    </row>
    <row r="859" spans="1:1" ht="13.5">
      <c r="A859" s="32"/>
    </row>
    <row r="860" spans="1:1" ht="13.5">
      <c r="A860" s="33"/>
    </row>
    <row r="861" spans="1:1" ht="13.5">
      <c r="A861" s="32"/>
    </row>
    <row r="862" spans="1:1" ht="13.5">
      <c r="A862" s="32"/>
    </row>
    <row r="863" spans="1:1" ht="13.5">
      <c r="A863" s="33"/>
    </row>
    <row r="864" spans="1:1" ht="13.5">
      <c r="A864" s="32"/>
    </row>
    <row r="865" spans="1:1" ht="13.5">
      <c r="A865" s="32"/>
    </row>
    <row r="866" spans="1:1" ht="13.5">
      <c r="A866" s="33"/>
    </row>
    <row r="867" spans="1:1" ht="13.5">
      <c r="A867" s="32"/>
    </row>
    <row r="868" spans="1:1" ht="13.5">
      <c r="A868" s="32"/>
    </row>
    <row r="869" spans="1:1" ht="13.5">
      <c r="A869" s="33"/>
    </row>
    <row r="870" spans="1:1" ht="13.5">
      <c r="A870" s="32"/>
    </row>
    <row r="871" spans="1:1" ht="13.5">
      <c r="A871" s="32"/>
    </row>
    <row r="872" spans="1:1" ht="13.5">
      <c r="A872" s="33"/>
    </row>
    <row r="873" spans="1:1" ht="13.5">
      <c r="A873" s="32"/>
    </row>
    <row r="874" spans="1:1" ht="13.5">
      <c r="A874" s="32"/>
    </row>
    <row r="875" spans="1:1" ht="13.5">
      <c r="A875" s="33"/>
    </row>
    <row r="876" spans="1:1" ht="13.5">
      <c r="A876" s="32"/>
    </row>
    <row r="877" spans="1:1" ht="13.5">
      <c r="A877" s="32"/>
    </row>
    <row r="878" spans="1:1" ht="13.5">
      <c r="A878" s="33"/>
    </row>
    <row r="879" spans="1:1" ht="13.5">
      <c r="A879" s="32"/>
    </row>
    <row r="880" spans="1:1" ht="13.5">
      <c r="A880" s="32"/>
    </row>
    <row r="881" spans="1:1" ht="13.5">
      <c r="A881" s="33"/>
    </row>
    <row r="882" spans="1:1" ht="13.5">
      <c r="A882" s="32"/>
    </row>
    <row r="883" spans="1:1" ht="13.5">
      <c r="A883" s="32"/>
    </row>
    <row r="884" spans="1:1" ht="13.5">
      <c r="A884" s="33"/>
    </row>
    <row r="885" spans="1:1" ht="13.5">
      <c r="A885" s="32"/>
    </row>
    <row r="886" spans="1:1" ht="13.5">
      <c r="A886" s="32"/>
    </row>
    <row r="887" spans="1:1" ht="13.5">
      <c r="A887" s="33"/>
    </row>
    <row r="888" spans="1:1" ht="13.5">
      <c r="A888" s="32"/>
    </row>
    <row r="889" spans="1:1" ht="13.5">
      <c r="A889" s="32"/>
    </row>
    <row r="890" spans="1:1" ht="13.5">
      <c r="A890" s="33"/>
    </row>
    <row r="891" spans="1:1" ht="13.5">
      <c r="A891" s="32"/>
    </row>
    <row r="892" spans="1:1" ht="13.5">
      <c r="A892" s="32"/>
    </row>
    <row r="893" spans="1:1" ht="13.5">
      <c r="A893" s="33"/>
    </row>
    <row r="894" spans="1:1" ht="13.5">
      <c r="A894" s="32"/>
    </row>
    <row r="895" spans="1:1" ht="13.5">
      <c r="A895" s="32"/>
    </row>
    <row r="896" spans="1:1" ht="13.5">
      <c r="A896" s="33"/>
    </row>
    <row r="897" spans="1:1" ht="13.5">
      <c r="A897" s="32"/>
    </row>
    <row r="898" spans="1:1" ht="13.5">
      <c r="A898" s="32"/>
    </row>
    <row r="899" spans="1:1" ht="13.5">
      <c r="A899" s="33"/>
    </row>
    <row r="900" spans="1:1" ht="13.5">
      <c r="A900" s="32"/>
    </row>
    <row r="901" spans="1:1" ht="13.5">
      <c r="A901" s="32"/>
    </row>
    <row r="902" spans="1:1" ht="13.5">
      <c r="A902" s="33"/>
    </row>
    <row r="903" spans="1:1" ht="13.5">
      <c r="A903" s="32"/>
    </row>
    <row r="904" spans="1:1" ht="13.5">
      <c r="A904" s="32"/>
    </row>
    <row r="905" spans="1:1" ht="13.5">
      <c r="A905" s="33"/>
    </row>
    <row r="906" spans="1:1" ht="13.5">
      <c r="A906" s="32"/>
    </row>
    <row r="907" spans="1:1" ht="13.5">
      <c r="A907" s="32"/>
    </row>
    <row r="908" spans="1:1" ht="13.5">
      <c r="A908" s="33"/>
    </row>
    <row r="909" spans="1:1" ht="13.5">
      <c r="A909" s="32"/>
    </row>
    <row r="910" spans="1:1" ht="13.5">
      <c r="A910" s="32"/>
    </row>
    <row r="911" spans="1:1" ht="13.5">
      <c r="A911" s="33"/>
    </row>
    <row r="912" spans="1:1" ht="13.5">
      <c r="A912" s="32"/>
    </row>
    <row r="913" spans="1:1" ht="13.5">
      <c r="A913" s="32"/>
    </row>
    <row r="914" spans="1:1" ht="13.5">
      <c r="A914" s="33"/>
    </row>
    <row r="915" spans="1:1" ht="13.5">
      <c r="A915" s="32"/>
    </row>
    <row r="916" spans="1:1" ht="13.5">
      <c r="A916" s="32"/>
    </row>
    <row r="917" spans="1:1" ht="13.5">
      <c r="A917" s="33"/>
    </row>
    <row r="918" spans="1:1" ht="13.5">
      <c r="A918" s="32"/>
    </row>
    <row r="919" spans="1:1" ht="13.5">
      <c r="A919" s="32"/>
    </row>
    <row r="920" spans="1:1" ht="13.5">
      <c r="A920" s="33"/>
    </row>
    <row r="921" spans="1:1" ht="13.5">
      <c r="A921" s="32"/>
    </row>
    <row r="922" spans="1:1" ht="13.5">
      <c r="A922" s="32"/>
    </row>
    <row r="923" spans="1:1" ht="13.5">
      <c r="A923" s="33"/>
    </row>
    <row r="924" spans="1:1" ht="13.5">
      <c r="A924" s="32"/>
    </row>
    <row r="925" spans="1:1" ht="13.5">
      <c r="A925" s="32"/>
    </row>
    <row r="926" spans="1:1" ht="13.5">
      <c r="A926" s="33"/>
    </row>
    <row r="927" spans="1:1" ht="13.5">
      <c r="A927" s="32"/>
    </row>
    <row r="928" spans="1:1" ht="13.5">
      <c r="A928" s="32"/>
    </row>
    <row r="929" spans="1:1" ht="13.5">
      <c r="A929" s="33"/>
    </row>
    <row r="930" spans="1:1" ht="13.5">
      <c r="A930" s="32"/>
    </row>
    <row r="931" spans="1:1" ht="13.5">
      <c r="A931" s="32"/>
    </row>
    <row r="932" spans="1:1" ht="13.5">
      <c r="A932" s="33"/>
    </row>
    <row r="933" spans="1:1" ht="13.5">
      <c r="A933" s="32"/>
    </row>
    <row r="934" spans="1:1" ht="13.5">
      <c r="A934" s="32"/>
    </row>
    <row r="935" spans="1:1" ht="13.5">
      <c r="A935" s="33"/>
    </row>
    <row r="936" spans="1:1" ht="13.5">
      <c r="A936" s="32"/>
    </row>
    <row r="937" spans="1:1" ht="13.5">
      <c r="A937" s="32"/>
    </row>
    <row r="938" spans="1:1" ht="13.5">
      <c r="A938" s="33"/>
    </row>
    <row r="939" spans="1:1" ht="13.5">
      <c r="A939" s="32"/>
    </row>
    <row r="940" spans="1:1" ht="13.5">
      <c r="A940" s="32"/>
    </row>
    <row r="941" spans="1:1" ht="13.5">
      <c r="A941" s="33"/>
    </row>
    <row r="942" spans="1:1" ht="13.5">
      <c r="A942" s="32"/>
    </row>
    <row r="943" spans="1:1" ht="13.5">
      <c r="A943" s="32"/>
    </row>
    <row r="944" spans="1:1" ht="13.5">
      <c r="A944" s="33"/>
    </row>
    <row r="945" spans="1:1" ht="13.5">
      <c r="A945" s="32"/>
    </row>
    <row r="946" spans="1:1" ht="13.5">
      <c r="A946" s="32"/>
    </row>
    <row r="947" spans="1:1" ht="13.5">
      <c r="A947" s="33"/>
    </row>
    <row r="948" spans="1:1" ht="13.5">
      <c r="A948" s="32"/>
    </row>
    <row r="949" spans="1:1" ht="13.5">
      <c r="A949" s="32"/>
    </row>
    <row r="950" spans="1:1" ht="13.5">
      <c r="A950" s="33"/>
    </row>
    <row r="951" spans="1:1" ht="13.5">
      <c r="A951" s="32"/>
    </row>
    <row r="952" spans="1:1" ht="13.5">
      <c r="A952" s="32"/>
    </row>
    <row r="953" spans="1:1" ht="13.5">
      <c r="A953" s="33"/>
    </row>
    <row r="954" spans="1:1" ht="13.5">
      <c r="A954" s="32"/>
    </row>
    <row r="955" spans="1:1" ht="13.5">
      <c r="A955" s="32"/>
    </row>
    <row r="956" spans="1:1" ht="13.5">
      <c r="A956" s="33"/>
    </row>
    <row r="957" spans="1:1" ht="13.5">
      <c r="A957" s="32"/>
    </row>
    <row r="958" spans="1:1" ht="13.5">
      <c r="A958" s="32"/>
    </row>
    <row r="959" spans="1:1" ht="13.5">
      <c r="A959" s="33"/>
    </row>
    <row r="960" spans="1:1" ht="13.5">
      <c r="A960" s="32"/>
    </row>
    <row r="961" spans="1:1" ht="13.5">
      <c r="A961" s="32"/>
    </row>
    <row r="962" spans="1:1" ht="13.5">
      <c r="A962" s="33"/>
    </row>
    <row r="963" spans="1:1" ht="13.5">
      <c r="A963" s="32"/>
    </row>
    <row r="964" spans="1:1" ht="13.5">
      <c r="A964" s="32"/>
    </row>
    <row r="965" spans="1:1" ht="13.5">
      <c r="A965" s="33"/>
    </row>
    <row r="966" spans="1:1" ht="13.5">
      <c r="A966" s="32"/>
    </row>
    <row r="967" spans="1:1" ht="13.5">
      <c r="A967" s="32"/>
    </row>
    <row r="968" spans="1:1" ht="13.5">
      <c r="A968" s="33"/>
    </row>
    <row r="969" spans="1:1" ht="13.5">
      <c r="A969" s="32"/>
    </row>
    <row r="970" spans="1:1" ht="13.5">
      <c r="A970" s="32"/>
    </row>
    <row r="971" spans="1:1" ht="13.5">
      <c r="A971" s="33"/>
    </row>
    <row r="972" spans="1:1" ht="13.5">
      <c r="A972" s="32"/>
    </row>
    <row r="973" spans="1:1" ht="13.5">
      <c r="A973" s="32"/>
    </row>
    <row r="974" spans="1:1" ht="13.5">
      <c r="A974" s="33"/>
    </row>
    <row r="975" spans="1:1" ht="13.5">
      <c r="A975" s="32"/>
    </row>
    <row r="976" spans="1:1" ht="13.5">
      <c r="A976" s="32"/>
    </row>
    <row r="977" spans="1:1" ht="13.5">
      <c r="A977" s="33"/>
    </row>
    <row r="978" spans="1:1" ht="13.5">
      <c r="A978" s="32"/>
    </row>
    <row r="979" spans="1:1" ht="13.5">
      <c r="A979" s="32"/>
    </row>
    <row r="980" spans="1:1" ht="13.5">
      <c r="A980" s="33"/>
    </row>
    <row r="981" spans="1:1" ht="13.5">
      <c r="A981" s="32"/>
    </row>
    <row r="982" spans="1:1" ht="13.5">
      <c r="A982" s="32"/>
    </row>
    <row r="983" spans="1:1" ht="13.5">
      <c r="A983" s="33"/>
    </row>
    <row r="984" spans="1:1" ht="13.5">
      <c r="A984" s="32"/>
    </row>
    <row r="985" spans="1:1" ht="13.5">
      <c r="A985" s="32"/>
    </row>
    <row r="986" spans="1:1" ht="13.5">
      <c r="A986" s="33"/>
    </row>
    <row r="987" spans="1:1" ht="13.5">
      <c r="A987" s="32"/>
    </row>
    <row r="988" spans="1:1" ht="13.5">
      <c r="A988" s="32"/>
    </row>
    <row r="989" spans="1:1" ht="13.5">
      <c r="A989" s="33"/>
    </row>
    <row r="990" spans="1:1" ht="13.5">
      <c r="A990" s="32"/>
    </row>
    <row r="991" spans="1:1" ht="13.5">
      <c r="A991" s="32"/>
    </row>
    <row r="992" spans="1:1" ht="13.5">
      <c r="A992" s="33"/>
    </row>
    <row r="993" spans="1:1" ht="13.5">
      <c r="A993" s="32"/>
    </row>
    <row r="994" spans="1:1" ht="13.5">
      <c r="A994" s="32"/>
    </row>
    <row r="995" spans="1:1" ht="13.5">
      <c r="A995" s="33"/>
    </row>
    <row r="996" spans="1:1" ht="13.5">
      <c r="A996" s="32"/>
    </row>
    <row r="997" spans="1:1" ht="13.5">
      <c r="A997" s="32"/>
    </row>
    <row r="998" spans="1:1" ht="13.5">
      <c r="A998" s="33"/>
    </row>
    <row r="999" spans="1:1" ht="13.5">
      <c r="A999" s="32"/>
    </row>
    <row r="1000" spans="1:1" ht="13.5">
      <c r="A1000" s="32"/>
    </row>
    <row r="1001" spans="1:1" ht="13.5">
      <c r="A1001" s="33"/>
    </row>
    <row r="1002" spans="1:1" ht="13.5">
      <c r="A1002" s="32"/>
    </row>
    <row r="1003" spans="1:1" ht="13.5">
      <c r="A1003" s="32"/>
    </row>
    <row r="1004" spans="1:1" ht="13.5">
      <c r="A1004" s="33"/>
    </row>
    <row r="1005" spans="1:1" ht="13.5">
      <c r="A1005" s="32"/>
    </row>
    <row r="1006" spans="1:1" ht="13.5">
      <c r="A1006" s="32"/>
    </row>
    <row r="1007" spans="1:1" ht="13.5">
      <c r="A1007" s="33"/>
    </row>
    <row r="1008" spans="1:1" ht="13.5">
      <c r="A1008" s="32"/>
    </row>
    <row r="1009" spans="1:1" ht="13.5">
      <c r="A1009" s="32"/>
    </row>
    <row r="1010" spans="1:1" ht="13.5">
      <c r="A1010" s="33"/>
    </row>
    <row r="1011" spans="1:1" ht="13.5">
      <c r="A1011" s="32"/>
    </row>
    <row r="1012" spans="1:1" ht="13.5">
      <c r="A1012" s="32"/>
    </row>
    <row r="1013" spans="1:1" ht="13.5">
      <c r="A1013" s="33"/>
    </row>
    <row r="1014" spans="1:1" ht="13.5">
      <c r="A1014" s="32"/>
    </row>
    <row r="1015" spans="1:1" ht="13.5">
      <c r="A1015" s="32"/>
    </row>
    <row r="1016" spans="1:1" ht="13.5">
      <c r="A1016" s="33"/>
    </row>
    <row r="1017" spans="1:1" ht="13.5">
      <c r="A1017" s="32"/>
    </row>
    <row r="1018" spans="1:1" ht="13.5">
      <c r="A1018" s="32"/>
    </row>
    <row r="1019" spans="1:1" ht="13.5">
      <c r="A1019" s="33"/>
    </row>
    <row r="1020" spans="1:1" ht="13.5">
      <c r="A1020" s="32"/>
    </row>
    <row r="1021" spans="1:1" ht="13.5">
      <c r="A1021" s="32"/>
    </row>
    <row r="1022" spans="1:1" ht="13.5">
      <c r="A1022" s="33"/>
    </row>
    <row r="1023" spans="1:1" ht="13.5">
      <c r="A1023" s="32"/>
    </row>
    <row r="1024" spans="1:1" ht="13.5">
      <c r="A1024" s="32"/>
    </row>
    <row r="1025" spans="1:1" ht="13.5">
      <c r="A1025" s="33"/>
    </row>
    <row r="1026" spans="1:1" ht="13.5">
      <c r="A1026" s="32"/>
    </row>
    <row r="1027" spans="1:1" ht="13.5">
      <c r="A1027" s="32"/>
    </row>
    <row r="1028" spans="1:1" ht="13.5">
      <c r="A1028" s="33"/>
    </row>
    <row r="1029" spans="1:1" ht="13.5">
      <c r="A1029" s="32"/>
    </row>
    <row r="1030" spans="1:1" ht="13.5">
      <c r="A1030" s="32"/>
    </row>
    <row r="1031" spans="1:1" ht="13.5">
      <c r="A1031" s="33"/>
    </row>
    <row r="1032" spans="1:1" ht="13.5">
      <c r="A1032" s="32"/>
    </row>
    <row r="1033" spans="1:1" ht="13.5">
      <c r="A1033" s="32"/>
    </row>
    <row r="1034" spans="1:1" ht="13.5">
      <c r="A1034" s="33"/>
    </row>
    <row r="1035" spans="1:1" ht="13.5">
      <c r="A1035" s="32"/>
    </row>
    <row r="1036" spans="1:1" ht="13.5">
      <c r="A1036" s="32"/>
    </row>
    <row r="1037" spans="1:1" ht="13.5">
      <c r="A1037" s="33"/>
    </row>
    <row r="1038" spans="1:1" ht="13.5">
      <c r="A1038" s="32"/>
    </row>
    <row r="1039" spans="1:1" ht="13.5">
      <c r="A1039" s="32"/>
    </row>
    <row r="1040" spans="1:1" ht="13.5">
      <c r="A1040" s="33"/>
    </row>
    <row r="1041" spans="1:1" ht="13.5">
      <c r="A1041" s="32"/>
    </row>
    <row r="1042" spans="1:1" ht="13.5">
      <c r="A1042" s="32"/>
    </row>
    <row r="1043" spans="1:1" ht="13.5">
      <c r="A1043" s="33"/>
    </row>
    <row r="1044" spans="1:1" ht="13.5">
      <c r="A1044" s="32"/>
    </row>
    <row r="1045" spans="1:1" ht="13.5">
      <c r="A1045" s="32"/>
    </row>
    <row r="1046" spans="1:1" ht="13.5">
      <c r="A1046" s="33"/>
    </row>
    <row r="1047" spans="1:1" ht="13.5">
      <c r="A1047" s="32"/>
    </row>
    <row r="1048" spans="1:1" ht="13.5">
      <c r="A1048" s="32"/>
    </row>
    <row r="1049" spans="1:1" ht="13.5">
      <c r="A1049" s="33"/>
    </row>
    <row r="1050" spans="1:1" ht="13.5">
      <c r="A1050" s="32"/>
    </row>
    <row r="1051" spans="1:1" ht="13.5">
      <c r="A1051" s="32"/>
    </row>
    <row r="1052" spans="1:1" ht="13.5">
      <c r="A1052" s="33"/>
    </row>
    <row r="1053" spans="1:1" ht="13.5">
      <c r="A1053" s="32"/>
    </row>
    <row r="1054" spans="1:1" ht="13.5">
      <c r="A1054" s="32"/>
    </row>
    <row r="1055" spans="1:1" ht="13.5">
      <c r="A1055" s="33"/>
    </row>
    <row r="1056" spans="1:1" ht="13.5">
      <c r="A1056" s="32"/>
    </row>
    <row r="1057" spans="1:1" ht="13.5">
      <c r="A1057" s="32"/>
    </row>
    <row r="1058" spans="1:1" ht="13.5">
      <c r="A1058" s="33"/>
    </row>
    <row r="1059" spans="1:1" ht="13.5">
      <c r="A1059" s="32"/>
    </row>
    <row r="1060" spans="1:1" ht="13.5">
      <c r="A1060" s="32"/>
    </row>
    <row r="1061" spans="1:1" ht="13.5">
      <c r="A1061" s="33"/>
    </row>
    <row r="1062" spans="1:1" ht="13.5">
      <c r="A1062" s="32"/>
    </row>
    <row r="1063" spans="1:1" ht="13.5">
      <c r="A1063" s="32"/>
    </row>
    <row r="1064" spans="1:1" ht="13.5">
      <c r="A1064" s="33"/>
    </row>
    <row r="1065" spans="1:1" ht="13.5">
      <c r="A1065" s="32"/>
    </row>
    <row r="1066" spans="1:1" ht="13.5">
      <c r="A1066" s="32"/>
    </row>
    <row r="1067" spans="1:1" ht="13.5">
      <c r="A1067" s="33"/>
    </row>
    <row r="1068" spans="1:1" ht="13.5">
      <c r="A1068" s="32"/>
    </row>
    <row r="1069" spans="1:1" ht="13.5">
      <c r="A1069" s="32"/>
    </row>
    <row r="1070" spans="1:1" ht="13.5">
      <c r="A1070" s="33"/>
    </row>
    <row r="1071" spans="1:1" ht="13.5">
      <c r="A1071" s="32"/>
    </row>
    <row r="1072" spans="1:1" ht="13.5">
      <c r="A1072" s="32"/>
    </row>
    <row r="1073" spans="1:1" ht="13.5">
      <c r="A1073" s="33"/>
    </row>
    <row r="1074" spans="1:1" ht="13.5">
      <c r="A1074" s="32"/>
    </row>
    <row r="1075" spans="1:1" ht="13.5">
      <c r="A1075" s="32"/>
    </row>
    <row r="1076" spans="1:1" ht="13.5">
      <c r="A1076" s="33"/>
    </row>
    <row r="1077" spans="1:1" ht="13.5">
      <c r="A1077" s="32"/>
    </row>
    <row r="1078" spans="1:1" ht="13.5">
      <c r="A1078" s="32"/>
    </row>
    <row r="1079" spans="1:1" ht="13.5">
      <c r="A1079" s="33"/>
    </row>
    <row r="1080" spans="1:1" ht="13.5">
      <c r="A1080" s="32"/>
    </row>
    <row r="1081" spans="1:1" ht="13.5">
      <c r="A1081" s="32"/>
    </row>
    <row r="1082" spans="1:1" ht="13.5">
      <c r="A1082" s="33"/>
    </row>
    <row r="1083" spans="1:1" ht="13.5">
      <c r="A1083" s="32"/>
    </row>
    <row r="1084" spans="1:1" ht="13.5">
      <c r="A1084" s="32"/>
    </row>
    <row r="1085" spans="1:1" ht="13.5">
      <c r="A1085" s="33"/>
    </row>
    <row r="1086" spans="1:1" ht="13.5">
      <c r="A1086" s="32"/>
    </row>
    <row r="1087" spans="1:1" ht="13.5">
      <c r="A1087" s="32"/>
    </row>
    <row r="1088" spans="1:1" ht="13.5">
      <c r="A1088" s="33"/>
    </row>
    <row r="1089" spans="1:1" ht="13.5">
      <c r="A1089" s="32"/>
    </row>
    <row r="1090" spans="1:1" ht="13.5">
      <c r="A1090" s="32"/>
    </row>
    <row r="1091" spans="1:1" ht="13.5">
      <c r="A1091" s="33"/>
    </row>
    <row r="1092" spans="1:1" ht="13.5">
      <c r="A1092" s="32"/>
    </row>
    <row r="1093" spans="1:1" ht="13.5">
      <c r="A1093" s="32"/>
    </row>
    <row r="1094" spans="1:1" ht="13.5">
      <c r="A1094" s="33"/>
    </row>
    <row r="1095" spans="1:1" ht="13.5">
      <c r="A1095" s="32"/>
    </row>
    <row r="1096" spans="1:1" ht="13.5">
      <c r="A1096" s="32"/>
    </row>
    <row r="1097" spans="1:1" ht="13.5">
      <c r="A1097" s="33"/>
    </row>
    <row r="1098" spans="1:1" ht="13.5">
      <c r="A1098" s="32"/>
    </row>
    <row r="1099" spans="1:1" ht="13.5">
      <c r="A1099" s="32"/>
    </row>
    <row r="1100" spans="1:1" ht="13.5">
      <c r="A1100" s="33"/>
    </row>
    <row r="1101" spans="1:1" ht="13.5">
      <c r="A1101" s="32"/>
    </row>
    <row r="1102" spans="1:1" ht="13.5">
      <c r="A1102" s="32"/>
    </row>
    <row r="1103" spans="1:1" ht="13.5">
      <c r="A1103" s="33"/>
    </row>
    <row r="1104" spans="1:1" ht="13.5">
      <c r="A1104" s="32"/>
    </row>
    <row r="1105" spans="1:1" ht="13.5">
      <c r="A1105" s="32"/>
    </row>
    <row r="1106" spans="1:1" ht="13.5">
      <c r="A1106" s="33"/>
    </row>
    <row r="1107" spans="1:1" ht="13.5">
      <c r="A1107" s="32"/>
    </row>
    <row r="1108" spans="1:1" ht="13.5">
      <c r="A1108" s="32"/>
    </row>
    <row r="1109" spans="1:1" ht="13.5">
      <c r="A1109" s="33"/>
    </row>
    <row r="1110" spans="1:1" ht="13.5">
      <c r="A1110" s="32"/>
    </row>
    <row r="1111" spans="1:1" ht="13.5">
      <c r="A1111" s="32"/>
    </row>
    <row r="1112" spans="1:1" ht="13.5">
      <c r="A1112" s="33"/>
    </row>
    <row r="1113" spans="1:1" ht="13.5">
      <c r="A1113" s="32"/>
    </row>
    <row r="1114" spans="1:1" ht="13.5">
      <c r="A1114" s="32"/>
    </row>
    <row r="1115" spans="1:1" ht="13.5">
      <c r="A1115" s="33"/>
    </row>
    <row r="1116" spans="1:1" ht="13.5">
      <c r="A1116" s="32"/>
    </row>
    <row r="1117" spans="1:1" ht="13.5">
      <c r="A1117" s="32"/>
    </row>
    <row r="1118" spans="1:1" ht="13.5">
      <c r="A1118" s="33"/>
    </row>
    <row r="1119" spans="1:1" ht="13.5">
      <c r="A1119" s="32"/>
    </row>
    <row r="1120" spans="1:1" ht="13.5">
      <c r="A1120" s="32"/>
    </row>
    <row r="1121" spans="1:1" ht="13.5">
      <c r="A1121" s="33"/>
    </row>
    <row r="1122" spans="1:1" ht="13.5">
      <c r="A1122" s="32"/>
    </row>
    <row r="1123" spans="1:1" ht="13.5">
      <c r="A1123" s="32"/>
    </row>
    <row r="1124" spans="1:1" ht="13.5">
      <c r="A1124" s="33"/>
    </row>
    <row r="1125" spans="1:1" ht="13.5">
      <c r="A1125" s="32"/>
    </row>
    <row r="1126" spans="1:1" ht="13.5">
      <c r="A1126" s="32"/>
    </row>
    <row r="1127" spans="1:1" ht="13.5">
      <c r="A1127" s="33"/>
    </row>
    <row r="1128" spans="1:1" ht="13.5">
      <c r="A1128" s="32"/>
    </row>
    <row r="1129" spans="1:1" ht="13.5">
      <c r="A1129" s="32"/>
    </row>
    <row r="1130" spans="1:1" ht="13.5">
      <c r="A1130" s="33"/>
    </row>
    <row r="1131" spans="1:1" ht="13.5">
      <c r="A1131" s="32"/>
    </row>
    <row r="1132" spans="1:1" ht="13.5">
      <c r="A1132" s="32"/>
    </row>
    <row r="1133" spans="1:1" ht="13.5">
      <c r="A1133" s="32"/>
    </row>
    <row r="1134" spans="1:1" ht="13.5">
      <c r="A1134" s="33"/>
    </row>
    <row r="1135" spans="1:1" ht="13.5">
      <c r="A1135" s="32"/>
    </row>
    <row r="1136" spans="1:1" ht="13.5">
      <c r="A1136" s="32"/>
    </row>
    <row r="1137" spans="1:1" ht="13.5">
      <c r="A1137" s="33"/>
    </row>
    <row r="1138" spans="1:1" ht="13.5">
      <c r="A1138" s="32"/>
    </row>
    <row r="1139" spans="1:1" ht="13.5">
      <c r="A1139" s="32"/>
    </row>
    <row r="1140" spans="1:1" ht="13.5">
      <c r="A1140" s="33"/>
    </row>
    <row r="1141" spans="1:1" ht="13.5">
      <c r="A1141" s="32"/>
    </row>
    <row r="1142" spans="1:1" ht="13.5">
      <c r="A1142" s="32"/>
    </row>
    <row r="1143" spans="1:1" ht="13.5">
      <c r="A1143" s="33"/>
    </row>
    <row r="1144" spans="1:1" ht="13.5">
      <c r="A1144" s="32"/>
    </row>
    <row r="1145" spans="1:1" ht="13.5">
      <c r="A1145" s="32"/>
    </row>
    <row r="1146" spans="1:1" ht="13.5">
      <c r="A1146" s="33"/>
    </row>
    <row r="1147" spans="1:1" ht="13.5">
      <c r="A1147" s="32"/>
    </row>
    <row r="1148" spans="1:1" ht="13.5">
      <c r="A1148" s="32"/>
    </row>
    <row r="1149" spans="1:1" ht="13.5">
      <c r="A1149" s="33"/>
    </row>
    <row r="1150" spans="1:1" ht="13.5">
      <c r="A1150" s="32"/>
    </row>
    <row r="1151" spans="1:1" ht="13.5">
      <c r="A1151" s="32"/>
    </row>
    <row r="1152" spans="1:1" ht="13.5">
      <c r="A1152" s="33"/>
    </row>
    <row r="1153" spans="1:1" ht="13.5">
      <c r="A1153" s="32"/>
    </row>
    <row r="1154" spans="1:1" ht="13.5">
      <c r="A1154" s="32"/>
    </row>
    <row r="1155" spans="1:1" ht="13.5">
      <c r="A1155" s="33"/>
    </row>
    <row r="1156" spans="1:1" ht="13.5">
      <c r="A1156" s="32"/>
    </row>
    <row r="1157" spans="1:1" ht="13.5">
      <c r="A1157" s="32"/>
    </row>
    <row r="1158" spans="1:1" ht="13.5">
      <c r="A1158" s="33"/>
    </row>
    <row r="1159" spans="1:1" ht="13.5">
      <c r="A1159" s="32"/>
    </row>
    <row r="1160" spans="1:1" ht="13.5">
      <c r="A1160" s="32"/>
    </row>
    <row r="1161" spans="1:1" ht="13.5">
      <c r="A1161" s="33"/>
    </row>
    <row r="1162" spans="1:1" ht="13.5">
      <c r="A1162" s="32"/>
    </row>
    <row r="1163" spans="1:1" ht="13.5">
      <c r="A1163" s="32"/>
    </row>
    <row r="1164" spans="1:1" ht="13.5">
      <c r="A1164" s="33"/>
    </row>
    <row r="1165" spans="1:1" ht="13.5">
      <c r="A1165" s="32"/>
    </row>
    <row r="1166" spans="1:1" ht="13.5">
      <c r="A1166" s="32"/>
    </row>
    <row r="1167" spans="1:1" ht="13.5">
      <c r="A1167" s="33"/>
    </row>
    <row r="1168" spans="1:1" ht="13.5">
      <c r="A1168" s="32"/>
    </row>
    <row r="1169" spans="1:1" ht="13.5">
      <c r="A1169" s="32"/>
    </row>
    <row r="1170" spans="1:1" ht="13.5">
      <c r="A1170" s="33"/>
    </row>
    <row r="1171" spans="1:1" ht="13.5">
      <c r="A1171" s="32"/>
    </row>
    <row r="1172" spans="1:1" ht="13.5">
      <c r="A1172" s="32"/>
    </row>
    <row r="1173" spans="1:1" ht="13.5">
      <c r="A1173" s="33"/>
    </row>
    <row r="1174" spans="1:1" ht="13.5">
      <c r="A1174" s="32"/>
    </row>
    <row r="1175" spans="1:1" ht="13.5">
      <c r="A1175" s="32"/>
    </row>
    <row r="1176" spans="1:1" ht="13.5">
      <c r="A1176" s="33"/>
    </row>
    <row r="1177" spans="1:1" ht="13.5">
      <c r="A1177" s="32"/>
    </row>
    <row r="1178" spans="1:1" ht="13.5">
      <c r="A1178" s="32"/>
    </row>
    <row r="1179" spans="1:1" ht="13.5">
      <c r="A1179" s="33"/>
    </row>
    <row r="1180" spans="1:1" ht="13.5">
      <c r="A1180" s="32"/>
    </row>
    <row r="1181" spans="1:1" ht="13.5">
      <c r="A1181" s="32"/>
    </row>
    <row r="1182" spans="1:1" ht="13.5">
      <c r="A1182" s="33"/>
    </row>
    <row r="1183" spans="1:1" ht="13.5">
      <c r="A1183" s="32"/>
    </row>
    <row r="1184" spans="1:1" ht="13.5">
      <c r="A1184" s="32"/>
    </row>
    <row r="1185" spans="1:1" ht="13.5">
      <c r="A1185" s="33"/>
    </row>
    <row r="1186" spans="1:1" ht="13.5">
      <c r="A1186" s="32"/>
    </row>
    <row r="1187" spans="1:1" ht="13.5">
      <c r="A1187" s="32"/>
    </row>
    <row r="1188" spans="1:1" ht="13.5">
      <c r="A1188" s="33"/>
    </row>
    <row r="1189" spans="1:1" ht="13.5">
      <c r="A1189" s="32"/>
    </row>
    <row r="1190" spans="1:1" ht="13.5">
      <c r="A1190" s="32"/>
    </row>
    <row r="1191" spans="1:1" ht="13.5">
      <c r="A1191" s="33"/>
    </row>
    <row r="1192" spans="1:1" ht="13.5">
      <c r="A1192" s="32"/>
    </row>
    <row r="1193" spans="1:1" ht="13.5">
      <c r="A1193" s="32"/>
    </row>
    <row r="1194" spans="1:1" ht="13.5">
      <c r="A1194" s="33"/>
    </row>
    <row r="1195" spans="1:1" ht="13.5">
      <c r="A1195" s="32"/>
    </row>
    <row r="1196" spans="1:1" ht="13.5">
      <c r="A1196" s="32"/>
    </row>
    <row r="1197" spans="1:1" ht="13.5">
      <c r="A1197" s="33"/>
    </row>
    <row r="1198" spans="1:1" ht="13.5">
      <c r="A1198" s="32"/>
    </row>
    <row r="1199" spans="1:1" ht="13.5">
      <c r="A1199" s="32"/>
    </row>
    <row r="1200" spans="1:1" ht="13.5">
      <c r="A1200" s="33"/>
    </row>
    <row r="1201" spans="1:1" ht="13.5">
      <c r="A1201" s="32"/>
    </row>
    <row r="1202" spans="1:1" ht="13.5">
      <c r="A1202" s="32"/>
    </row>
    <row r="1203" spans="1:1" ht="13.5">
      <c r="A1203" s="33"/>
    </row>
    <row r="1204" spans="1:1" ht="13.5">
      <c r="A1204" s="32"/>
    </row>
    <row r="1205" spans="1:1" ht="13.5">
      <c r="A1205" s="32"/>
    </row>
    <row r="1206" spans="1:1" ht="13.5">
      <c r="A1206" s="33"/>
    </row>
    <row r="1207" spans="1:1" ht="13.5">
      <c r="A1207" s="32"/>
    </row>
    <row r="1208" spans="1:1" ht="13.5">
      <c r="A1208" s="32"/>
    </row>
    <row r="1209" spans="1:1" ht="13.5">
      <c r="A1209" s="33"/>
    </row>
    <row r="1210" spans="1:1" ht="13.5">
      <c r="A1210" s="32"/>
    </row>
    <row r="1211" spans="1:1" ht="13.5">
      <c r="A1211" s="32"/>
    </row>
    <row r="1212" spans="1:1" ht="13.5">
      <c r="A1212" s="33"/>
    </row>
    <row r="1213" spans="1:1" ht="13.5">
      <c r="A1213" s="32"/>
    </row>
    <row r="1214" spans="1:1" ht="13.5">
      <c r="A1214" s="32"/>
    </row>
    <row r="1215" spans="1:1" ht="13.5">
      <c r="A1215" s="33"/>
    </row>
    <row r="1216" spans="1:1" ht="13.5">
      <c r="A1216" s="32"/>
    </row>
    <row r="1217" spans="1:1" ht="13.5">
      <c r="A1217" s="32"/>
    </row>
    <row r="1218" spans="1:1" ht="13.5">
      <c r="A1218" s="33"/>
    </row>
    <row r="1219" spans="1:1" ht="13.5">
      <c r="A1219" s="32"/>
    </row>
    <row r="1220" spans="1:1" ht="13.5">
      <c r="A1220" s="32"/>
    </row>
    <row r="1221" spans="1:1" ht="13.5">
      <c r="A1221" s="33"/>
    </row>
    <row r="1222" spans="1:1" ht="13.5">
      <c r="A1222" s="32"/>
    </row>
    <row r="1223" spans="1:1" ht="13.5">
      <c r="A1223" s="32"/>
    </row>
    <row r="1224" spans="1:1" ht="13.5">
      <c r="A1224" s="33"/>
    </row>
    <row r="1225" spans="1:1" ht="13.5">
      <c r="A1225" s="32"/>
    </row>
    <row r="1226" spans="1:1" ht="13.5">
      <c r="A1226" s="32"/>
    </row>
    <row r="1227" spans="1:1" ht="13.5">
      <c r="A1227" s="33"/>
    </row>
    <row r="1228" spans="1:1" ht="13.5">
      <c r="A1228" s="32"/>
    </row>
    <row r="1229" spans="1:1" ht="13.5">
      <c r="A1229" s="32"/>
    </row>
    <row r="1230" spans="1:1" ht="13.5">
      <c r="A1230" s="33"/>
    </row>
    <row r="1231" spans="1:1" ht="13.5">
      <c r="A1231" s="32"/>
    </row>
    <row r="1232" spans="1:1" ht="13.5">
      <c r="A1232" s="32"/>
    </row>
    <row r="1233" spans="1:1" ht="13.5">
      <c r="A1233" s="33"/>
    </row>
    <row r="1234" spans="1:1" ht="13.5">
      <c r="A1234" s="32"/>
    </row>
    <row r="1235" spans="1:1" ht="13.5">
      <c r="A1235" s="32"/>
    </row>
    <row r="1236" spans="1:1" ht="13.5">
      <c r="A1236" s="33"/>
    </row>
    <row r="1237" spans="1:1" ht="13.5">
      <c r="A1237" s="32"/>
    </row>
    <row r="1238" spans="1:1" ht="13.5">
      <c r="A1238" s="32"/>
    </row>
    <row r="1239" spans="1:1" ht="13.5">
      <c r="A1239" s="33"/>
    </row>
    <row r="1240" spans="1:1" ht="13.5">
      <c r="A1240" s="32"/>
    </row>
    <row r="1241" spans="1:1" ht="13.5">
      <c r="A1241" s="32"/>
    </row>
    <row r="1242" spans="1:1" ht="13.5">
      <c r="A1242" s="33"/>
    </row>
    <row r="1243" spans="1:1" ht="13.5">
      <c r="A1243" s="32"/>
    </row>
    <row r="1244" spans="1:1" ht="13.5">
      <c r="A1244" s="32"/>
    </row>
    <row r="1245" spans="1:1" ht="13.5">
      <c r="A1245" s="33"/>
    </row>
    <row r="1246" spans="1:1" ht="13.5">
      <c r="A1246" s="32"/>
    </row>
    <row r="1247" spans="1:1" ht="13.5">
      <c r="A1247" s="32"/>
    </row>
    <row r="1248" spans="1:1" ht="13.5">
      <c r="A1248" s="33"/>
    </row>
    <row r="1249" spans="1:1" ht="13.5">
      <c r="A1249" s="32"/>
    </row>
    <row r="1250" spans="1:1" ht="13.5">
      <c r="A1250" s="32"/>
    </row>
    <row r="1251" spans="1:1" ht="13.5">
      <c r="A1251" s="33"/>
    </row>
    <row r="1252" spans="1:1" ht="13.5">
      <c r="A1252" s="32"/>
    </row>
    <row r="1253" spans="1:1" ht="13.5">
      <c r="A1253" s="32"/>
    </row>
    <row r="1254" spans="1:1" ht="13.5">
      <c r="A1254" s="33"/>
    </row>
    <row r="1255" spans="1:1" ht="13.5">
      <c r="A1255" s="32"/>
    </row>
    <row r="1256" spans="1:1" ht="13.5">
      <c r="A1256" s="32"/>
    </row>
    <row r="1257" spans="1:1" ht="13.5">
      <c r="A1257" s="33"/>
    </row>
    <row r="1258" spans="1:1" ht="13.5">
      <c r="A1258" s="32"/>
    </row>
    <row r="1259" spans="1:1" ht="13.5">
      <c r="A1259" s="32"/>
    </row>
    <row r="1260" spans="1:1" ht="13.5">
      <c r="A1260" s="33"/>
    </row>
    <row r="1261" spans="1:1" ht="13.5">
      <c r="A1261" s="32"/>
    </row>
    <row r="1262" spans="1:1" ht="13.5">
      <c r="A1262" s="32"/>
    </row>
    <row r="1263" spans="1:1" ht="13.5">
      <c r="A1263" s="33"/>
    </row>
    <row r="1264" spans="1:1" ht="13.5">
      <c r="A1264" s="32"/>
    </row>
    <row r="1265" spans="1:1" ht="13.5">
      <c r="A1265" s="32"/>
    </row>
    <row r="1266" spans="1:1" ht="13.5">
      <c r="A1266" s="33"/>
    </row>
    <row r="1267" spans="1:1" ht="13.5">
      <c r="A1267" s="32"/>
    </row>
    <row r="1268" spans="1:1" ht="13.5">
      <c r="A1268" s="32"/>
    </row>
    <row r="1269" spans="1:1" ht="13.5">
      <c r="A1269" s="33"/>
    </row>
    <row r="1270" spans="1:1" ht="13.5">
      <c r="A1270" s="32"/>
    </row>
    <row r="1271" spans="1:1" ht="13.5">
      <c r="A1271" s="32"/>
    </row>
    <row r="1272" spans="1:1" ht="13.5">
      <c r="A1272" s="33"/>
    </row>
    <row r="1273" spans="1:1" ht="13.5">
      <c r="A1273" s="32"/>
    </row>
    <row r="1274" spans="1:1" ht="13.5">
      <c r="A1274" s="32"/>
    </row>
    <row r="1275" spans="1:1" ht="13.5">
      <c r="A1275" s="33"/>
    </row>
    <row r="1276" spans="1:1" ht="13.5">
      <c r="A1276" s="32"/>
    </row>
    <row r="1277" spans="1:1" ht="13.5">
      <c r="A1277" s="32"/>
    </row>
    <row r="1278" spans="1:1" ht="13.5">
      <c r="A1278" s="33"/>
    </row>
    <row r="1279" spans="1:1" ht="13.5">
      <c r="A1279" s="32"/>
    </row>
    <row r="1280" spans="1:1" ht="13.5">
      <c r="A1280" s="32"/>
    </row>
    <row r="1281" spans="1:1" ht="13.5">
      <c r="A1281" s="33"/>
    </row>
    <row r="1282" spans="1:1" ht="13.5">
      <c r="A1282" s="32"/>
    </row>
    <row r="1283" spans="1:1" ht="13.5">
      <c r="A1283" s="32"/>
    </row>
    <row r="1284" spans="1:1" ht="13.5">
      <c r="A1284" s="33"/>
    </row>
    <row r="1285" spans="1:1" ht="13.5">
      <c r="A1285" s="32"/>
    </row>
    <row r="1286" spans="1:1" ht="13.5">
      <c r="A1286" s="32"/>
    </row>
    <row r="1287" spans="1:1" ht="13.5">
      <c r="A1287" s="33"/>
    </row>
    <row r="1288" spans="1:1" ht="13.5">
      <c r="A1288" s="32"/>
    </row>
    <row r="1289" spans="1:1" ht="13.5">
      <c r="A1289" s="32"/>
    </row>
    <row r="1290" spans="1:1" ht="13.5">
      <c r="A1290" s="33"/>
    </row>
    <row r="1291" spans="1:1" ht="13.5">
      <c r="A1291" s="32"/>
    </row>
    <row r="1292" spans="1:1" ht="13.5">
      <c r="A1292" s="32"/>
    </row>
    <row r="1293" spans="1:1" ht="13.5">
      <c r="A1293" s="33"/>
    </row>
  </sheetData>
  <sheetProtection sheet="1" objects="1" scenarios="1"/>
  <mergeCells count="4">
    <mergeCell ref="A64:C64"/>
    <mergeCell ref="E64:F64"/>
    <mergeCell ref="A76:J76"/>
    <mergeCell ref="A78:J78"/>
  </mergeCells>
  <phoneticPr fontId="16" type="noConversion"/>
  <pageMargins left="0.7" right="0.7" top="0.78740157499999996" bottom="0.78740157499999996" header="0.3" footer="0.3"/>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D50AA-B767-4B9F-A16F-28A6AE3C6C92}">
  <sheetPr>
    <pageSetUpPr fitToPage="1"/>
  </sheetPr>
  <dimension ref="A1:O57"/>
  <sheetViews>
    <sheetView topLeftCell="A13" zoomScaleNormal="100" workbookViewId="0">
      <selection activeCell="A35" sqref="A35:K35"/>
    </sheetView>
  </sheetViews>
  <sheetFormatPr defaultColWidth="11.140625" defaultRowHeight="15"/>
  <cols>
    <col min="1" max="1" width="11.140625" style="103"/>
    <col min="2" max="2" width="19.28515625" style="103" customWidth="1"/>
    <col min="3" max="11" width="13.42578125" style="103" customWidth="1"/>
    <col min="12" max="12" width="12.85546875" style="103" customWidth="1"/>
    <col min="13" max="16384" width="11.140625" style="103"/>
  </cols>
  <sheetData>
    <row r="1" spans="1:12" ht="15.75">
      <c r="A1" s="53" t="s">
        <v>137</v>
      </c>
    </row>
    <row r="2" spans="1:12" ht="15.75">
      <c r="A2" s="54"/>
    </row>
    <row r="3" spans="1:12" ht="15.75">
      <c r="A3" s="54" t="s">
        <v>1</v>
      </c>
      <c r="B3" s="59" t="s">
        <v>2</v>
      </c>
    </row>
    <row r="4" spans="1:12" ht="15.75">
      <c r="A4" s="54" t="s">
        <v>3</v>
      </c>
      <c r="B4" s="54" t="s">
        <v>4</v>
      </c>
    </row>
    <row r="5" spans="1:12" ht="15.75">
      <c r="A5" s="54" t="s">
        <v>5</v>
      </c>
      <c r="B5" s="54" t="s">
        <v>229</v>
      </c>
    </row>
    <row r="6" spans="1:12">
      <c r="E6" s="104"/>
      <c r="F6" s="104"/>
      <c r="G6" s="104"/>
      <c r="H6" s="104"/>
      <c r="I6" s="105"/>
      <c r="J6" s="105"/>
      <c r="K6" s="105"/>
      <c r="L6" s="105"/>
    </row>
    <row r="7" spans="1:12" s="51" customFormat="1" ht="13.5">
      <c r="A7" s="60" t="s">
        <v>10</v>
      </c>
      <c r="B7" s="60"/>
      <c r="C7" s="61" t="s">
        <v>11</v>
      </c>
      <c r="D7" s="122" t="s">
        <v>32</v>
      </c>
      <c r="E7" s="56"/>
      <c r="F7" s="56"/>
      <c r="G7" s="55"/>
      <c r="H7" s="56"/>
      <c r="I7" s="72"/>
      <c r="J7" s="72"/>
      <c r="K7" s="72"/>
      <c r="L7" s="72"/>
    </row>
    <row r="8" spans="1:12" s="51" customFormat="1" ht="13.5">
      <c r="A8" s="54" t="s">
        <v>218</v>
      </c>
      <c r="B8" s="54"/>
      <c r="C8" s="52" t="s">
        <v>138</v>
      </c>
      <c r="D8" s="78" t="s">
        <v>222</v>
      </c>
      <c r="E8" s="54"/>
      <c r="F8" s="54"/>
      <c r="H8" s="54"/>
      <c r="I8" s="54"/>
      <c r="J8" s="54"/>
      <c r="K8" s="54"/>
      <c r="L8" s="54"/>
    </row>
    <row r="9" spans="1:12" s="51" customFormat="1" ht="13.5">
      <c r="A9" s="54" t="s">
        <v>139</v>
      </c>
      <c r="B9" s="54"/>
      <c r="C9" s="52" t="s">
        <v>138</v>
      </c>
      <c r="D9" s="78" t="s">
        <v>176</v>
      </c>
      <c r="E9" s="54"/>
      <c r="F9" s="54"/>
      <c r="H9" s="54"/>
      <c r="I9" s="54"/>
      <c r="J9" s="54"/>
      <c r="K9" s="54"/>
      <c r="L9" s="54"/>
    </row>
    <row r="10" spans="1:12" s="51" customFormat="1" ht="13.5">
      <c r="A10" s="62" t="s">
        <v>221</v>
      </c>
      <c r="B10" s="54"/>
      <c r="C10" s="52" t="s">
        <v>103</v>
      </c>
      <c r="D10" s="123" t="s">
        <v>220</v>
      </c>
      <c r="E10" s="54"/>
      <c r="F10" s="54"/>
      <c r="H10" s="54"/>
      <c r="I10" s="54"/>
      <c r="J10" s="54"/>
      <c r="K10" s="54"/>
      <c r="L10" s="54"/>
    </row>
    <row r="11" spans="1:12" s="51" customFormat="1" ht="13.5">
      <c r="A11" s="62" t="s">
        <v>141</v>
      </c>
      <c r="B11" s="54"/>
      <c r="C11" s="52" t="s">
        <v>103</v>
      </c>
      <c r="D11" s="78" t="s">
        <v>175</v>
      </c>
      <c r="E11" s="54"/>
      <c r="F11" s="54"/>
      <c r="H11" s="54"/>
      <c r="I11" s="54"/>
      <c r="J11" s="54"/>
      <c r="K11" s="54"/>
      <c r="L11" s="54"/>
    </row>
    <row r="12" spans="1:12" s="51" customFormat="1" ht="13.5">
      <c r="A12" s="54" t="s">
        <v>142</v>
      </c>
      <c r="B12" s="54"/>
      <c r="C12" s="52" t="s">
        <v>143</v>
      </c>
      <c r="D12" s="78" t="s">
        <v>219</v>
      </c>
      <c r="E12" s="54"/>
      <c r="F12" s="54"/>
      <c r="H12" s="54"/>
      <c r="I12" s="54"/>
      <c r="J12" s="54"/>
      <c r="K12" s="54"/>
      <c r="L12" s="54"/>
    </row>
    <row r="13" spans="1:12" s="51" customFormat="1">
      <c r="A13" s="54" t="s">
        <v>223</v>
      </c>
      <c r="B13" s="54"/>
      <c r="C13" s="52" t="s">
        <v>171</v>
      </c>
      <c r="D13" s="78" t="s">
        <v>227</v>
      </c>
      <c r="E13" s="54"/>
      <c r="F13" s="54"/>
      <c r="H13" s="54"/>
      <c r="I13" s="54"/>
      <c r="J13" s="54"/>
      <c r="K13" s="54"/>
      <c r="L13" s="54"/>
    </row>
    <row r="14" spans="1:12" s="51" customFormat="1">
      <c r="A14" s="54" t="s">
        <v>224</v>
      </c>
      <c r="B14" s="54"/>
      <c r="C14" s="52" t="s">
        <v>171</v>
      </c>
      <c r="D14" s="78" t="s">
        <v>226</v>
      </c>
      <c r="E14" s="54"/>
      <c r="F14" s="54"/>
      <c r="H14" s="54"/>
      <c r="I14" s="54"/>
      <c r="J14" s="54"/>
      <c r="K14" s="54"/>
      <c r="L14" s="54"/>
    </row>
    <row r="15" spans="1:12">
      <c r="A15" s="104"/>
      <c r="B15" s="104"/>
      <c r="C15" s="104"/>
      <c r="D15" s="104"/>
      <c r="E15" s="104"/>
      <c r="F15" s="104"/>
      <c r="G15" s="104"/>
      <c r="H15" s="104"/>
      <c r="I15" s="105"/>
    </row>
    <row r="16" spans="1:12" s="54" customFormat="1" ht="33" customHeight="1">
      <c r="A16" s="131" t="s">
        <v>144</v>
      </c>
      <c r="B16" s="138" t="s">
        <v>172</v>
      </c>
      <c r="C16" s="243" t="s">
        <v>146</v>
      </c>
      <c r="D16" s="243" t="s">
        <v>147</v>
      </c>
      <c r="E16" s="243" t="s">
        <v>148</v>
      </c>
      <c r="F16" s="243" t="s">
        <v>149</v>
      </c>
      <c r="G16" s="244" t="s">
        <v>225</v>
      </c>
      <c r="H16" s="254" t="s">
        <v>151</v>
      </c>
      <c r="I16" s="132"/>
    </row>
    <row r="17" spans="1:15" s="54" customFormat="1" ht="33" customHeight="1">
      <c r="A17" s="139" t="s">
        <v>152</v>
      </c>
      <c r="B17" s="140"/>
      <c r="C17" s="245">
        <v>0</v>
      </c>
      <c r="D17" s="246" t="s">
        <v>177</v>
      </c>
      <c r="E17" s="245" t="s">
        <v>153</v>
      </c>
      <c r="F17" s="247" t="s">
        <v>173</v>
      </c>
      <c r="G17" s="245" t="s">
        <v>154</v>
      </c>
      <c r="H17" s="255" t="s">
        <v>155</v>
      </c>
      <c r="I17" s="27"/>
    </row>
    <row r="18" spans="1:15" s="54" customFormat="1" ht="33" customHeight="1">
      <c r="A18" s="141" t="s">
        <v>156</v>
      </c>
      <c r="B18" s="242"/>
      <c r="C18" s="248" t="s">
        <v>161</v>
      </c>
      <c r="D18" s="248" t="s">
        <v>178</v>
      </c>
      <c r="E18" s="249" t="s">
        <v>157</v>
      </c>
      <c r="F18" s="250" t="s">
        <v>158</v>
      </c>
      <c r="G18" s="249" t="s">
        <v>159</v>
      </c>
      <c r="H18" s="256" t="s">
        <v>160</v>
      </c>
      <c r="I18" s="27"/>
    </row>
    <row r="19" spans="1:15" s="54" customFormat="1" ht="33" customHeight="1">
      <c r="A19" s="141" t="s">
        <v>162</v>
      </c>
      <c r="B19" s="242"/>
      <c r="C19" s="248" t="s">
        <v>179</v>
      </c>
      <c r="D19" s="248" t="s">
        <v>181</v>
      </c>
      <c r="E19" s="249" t="s">
        <v>185</v>
      </c>
      <c r="F19" s="250" t="s">
        <v>182</v>
      </c>
      <c r="G19" s="249" t="s">
        <v>184</v>
      </c>
      <c r="H19" s="256" t="s">
        <v>186</v>
      </c>
      <c r="I19" s="27"/>
    </row>
    <row r="20" spans="1:15" s="54" customFormat="1" ht="33" customHeight="1">
      <c r="A20" s="141" t="s">
        <v>163</v>
      </c>
      <c r="B20" s="242"/>
      <c r="C20" s="249" t="s">
        <v>164</v>
      </c>
      <c r="D20" s="249" t="s">
        <v>183</v>
      </c>
      <c r="E20" s="251" t="s">
        <v>165</v>
      </c>
      <c r="F20" s="250" t="s">
        <v>180</v>
      </c>
      <c r="G20" s="249" t="s">
        <v>166</v>
      </c>
      <c r="H20" s="256" t="s">
        <v>167</v>
      </c>
      <c r="I20" s="27"/>
    </row>
    <row r="21" spans="1:15" s="54" customFormat="1" ht="33" customHeight="1">
      <c r="A21" s="139" t="s">
        <v>168</v>
      </c>
      <c r="B21" s="142"/>
      <c r="C21" s="245" t="s">
        <v>102</v>
      </c>
      <c r="D21" s="245" t="s">
        <v>155</v>
      </c>
      <c r="E21" s="252" t="s">
        <v>173</v>
      </c>
      <c r="F21" s="253">
        <v>0</v>
      </c>
      <c r="G21" s="245" t="s">
        <v>155</v>
      </c>
      <c r="H21" s="255" t="s">
        <v>154</v>
      </c>
      <c r="I21" s="133"/>
    </row>
    <row r="22" spans="1:15">
      <c r="D22" s="104"/>
      <c r="J22" s="104"/>
      <c r="K22" s="104"/>
      <c r="L22" s="105"/>
    </row>
    <row r="23" spans="1:15" ht="15.75">
      <c r="A23" s="60" t="s">
        <v>30</v>
      </c>
      <c r="B23" s="65"/>
      <c r="C23" s="40" t="s">
        <v>31</v>
      </c>
      <c r="D23" s="63" t="s">
        <v>11</v>
      </c>
      <c r="E23" s="61" t="s">
        <v>32</v>
      </c>
      <c r="F23" s="64"/>
      <c r="G23" s="64"/>
      <c r="H23" s="64"/>
      <c r="I23" s="64"/>
      <c r="J23" s="64"/>
      <c r="K23" s="64"/>
      <c r="L23" s="11"/>
      <c r="M23" s="11"/>
      <c r="N23" s="11"/>
      <c r="O23" s="11"/>
    </row>
    <row r="24" spans="1:15" ht="15.75">
      <c r="A24" s="54" t="s">
        <v>169</v>
      </c>
      <c r="B24" s="53"/>
      <c r="C24" s="41" t="str">
        <f>COMPLEX(50,0)</f>
        <v>50</v>
      </c>
      <c r="D24" s="52" t="s">
        <v>34</v>
      </c>
      <c r="E24" s="52" t="s">
        <v>170</v>
      </c>
      <c r="F24" s="66"/>
      <c r="G24" s="66"/>
      <c r="H24" s="66"/>
      <c r="I24" s="66"/>
      <c r="J24" s="66"/>
      <c r="K24" s="66"/>
      <c r="L24" s="11"/>
      <c r="M24" s="6"/>
      <c r="N24" s="6"/>
      <c r="O24" s="6"/>
    </row>
    <row r="25" spans="1:15" ht="6.75" customHeight="1">
      <c r="B25" s="105"/>
      <c r="C25" s="105"/>
      <c r="D25" s="104"/>
      <c r="E25" s="105"/>
      <c r="F25" s="105"/>
      <c r="G25" s="105"/>
      <c r="L25" s="105"/>
    </row>
    <row r="26" spans="1:15" ht="30" customHeight="1">
      <c r="A26" s="60" t="s">
        <v>36</v>
      </c>
      <c r="B26" s="60"/>
      <c r="C26" s="106"/>
      <c r="D26" s="79" t="s">
        <v>11</v>
      </c>
      <c r="E26" s="134" t="s">
        <v>145</v>
      </c>
      <c r="F26" s="135" t="s">
        <v>146</v>
      </c>
      <c r="G26" s="135" t="s">
        <v>147</v>
      </c>
      <c r="H26" s="136" t="s">
        <v>148</v>
      </c>
      <c r="I26" s="136" t="s">
        <v>149</v>
      </c>
      <c r="J26" s="137" t="s">
        <v>150</v>
      </c>
      <c r="K26" s="137" t="s">
        <v>151</v>
      </c>
      <c r="L26" s="130"/>
    </row>
    <row r="27" spans="1:15" ht="15.75">
      <c r="A27" s="54" t="s">
        <v>139</v>
      </c>
      <c r="B27" s="54"/>
      <c r="C27" s="41">
        <v>70</v>
      </c>
      <c r="D27" s="52" t="s">
        <v>138</v>
      </c>
      <c r="E27" s="124"/>
      <c r="F27" s="66">
        <f>ABS((C27-C24)/(C27+C24))</f>
        <v>0.16666666666666666</v>
      </c>
      <c r="G27" s="66">
        <f>20*LOG10(ABS(F27))</f>
        <v>-15.563025007672874</v>
      </c>
      <c r="H27" s="66">
        <f>MAX(C27/$C$24,$C$24/C27)</f>
        <v>1.4</v>
      </c>
      <c r="I27" s="66">
        <f>20*LOG10(ABS((C27+C24)/(C27-C24)))</f>
        <v>15.563025007672874</v>
      </c>
      <c r="J27" s="66">
        <f>100/(1/(C24+C24)*0.5)*((1/(C24+C27))^2*C27)</f>
        <v>97.222222222222229</v>
      </c>
      <c r="K27" s="66">
        <f>100-J27</f>
        <v>2.7777777777777715</v>
      </c>
      <c r="L27" s="66"/>
    </row>
    <row r="28" spans="1:15" ht="15.75">
      <c r="A28" s="62" t="s">
        <v>140</v>
      </c>
      <c r="B28" s="54"/>
      <c r="C28" s="44" t="s">
        <v>187</v>
      </c>
      <c r="D28" s="52" t="s">
        <v>103</v>
      </c>
      <c r="E28" s="125">
        <f>(1+C28)/(1-C28)*C24</f>
        <v>51.010101010101003</v>
      </c>
      <c r="F28" s="126"/>
      <c r="G28" s="126"/>
      <c r="H28" s="127">
        <f>(1+ABS(C28))/(1-ABS(C28))</f>
        <v>1.0202020202020201</v>
      </c>
      <c r="I28" s="24">
        <f>20*LOG10(ABS((E28+$C$24)/(E28-$C$24)))</f>
        <v>40.000000000000064</v>
      </c>
      <c r="J28" s="24">
        <f>100/(1/(C24+C24)*0.5)*((1/(C24+E28))^2*E28)</f>
        <v>99.990000000000009</v>
      </c>
      <c r="K28" s="66">
        <f>100-J28</f>
        <v>9.9999999999909051E-3</v>
      </c>
      <c r="L28" s="66"/>
    </row>
    <row r="29" spans="1:15" ht="15.75">
      <c r="A29" s="227" t="s">
        <v>174</v>
      </c>
      <c r="B29" s="228"/>
      <c r="C29" s="229" t="s">
        <v>188</v>
      </c>
      <c r="D29" s="230" t="s">
        <v>103</v>
      </c>
      <c r="E29" s="125">
        <f>C29*C24</f>
        <v>51</v>
      </c>
      <c r="F29" s="17">
        <f>ABS((E29-$C$24)/(E29+$C$24))</f>
        <v>9.9009900990099011E-3</v>
      </c>
      <c r="G29" s="24">
        <f>20*LOG10(ABS(F29))</f>
        <v>-40.086427475652854</v>
      </c>
      <c r="H29" s="126"/>
      <c r="I29" s="24">
        <f>20*LOG10(ABS((E29+$C$24)/(E29-$C$24)))</f>
        <v>40.086427475652854</v>
      </c>
      <c r="J29" s="24">
        <f>100/(1/(C24+C24)*0.5)*((1/(C24+E29))^2*E29)</f>
        <v>99.990197039505929</v>
      </c>
      <c r="K29" s="66">
        <f t="shared" ref="K29:K32" si="0">100-J29</f>
        <v>9.8029604940705894E-3</v>
      </c>
      <c r="L29" s="66"/>
    </row>
    <row r="30" spans="1:15" ht="15.75">
      <c r="A30" s="227"/>
      <c r="B30" s="228"/>
      <c r="C30" s="229"/>
      <c r="D30" s="230"/>
      <c r="E30" s="125">
        <f>1/C29*C24</f>
        <v>49.019607843137251</v>
      </c>
      <c r="F30" s="17">
        <f>ABS((E30-$C$24)/(E30+$C$24))</f>
        <v>9.9009900990099375E-3</v>
      </c>
      <c r="G30" s="24">
        <f>20*LOG10(ABS(F30))</f>
        <v>-40.086427475652819</v>
      </c>
      <c r="H30" s="126"/>
      <c r="I30" s="24">
        <f>20*LOG10(ABS((E30+$C$24)/(E30-$C$24)))</f>
        <v>40.086427475652819</v>
      </c>
      <c r="J30" s="24">
        <f>100/(1/(C24+C24)*0.5)*((1/(C24+E30))^2*E30)</f>
        <v>99.990197039505915</v>
      </c>
      <c r="K30" s="66">
        <f t="shared" si="0"/>
        <v>9.8029604940848003E-3</v>
      </c>
      <c r="L30" s="66"/>
    </row>
    <row r="31" spans="1:15" ht="15.75">
      <c r="A31" s="227" t="s">
        <v>142</v>
      </c>
      <c r="B31" s="227"/>
      <c r="C31" s="231">
        <v>20</v>
      </c>
      <c r="D31" s="230" t="s">
        <v>143</v>
      </c>
      <c r="E31" s="129">
        <f>-(10^(-C31/20)+1)/(10^(-C31/20)-1)*C24</f>
        <v>61.111111111111114</v>
      </c>
      <c r="F31" s="17">
        <f>ABS((E31-$C$24)/(E31+$C$24))</f>
        <v>0.10000000000000002</v>
      </c>
      <c r="G31" s="24">
        <f t="shared" ref="G31:G32" si="1">20*LOG10(ABS(F31))</f>
        <v>-19.999999999999996</v>
      </c>
      <c r="H31" s="66">
        <f>MAX(E31/$C$24,$C$24/E31)</f>
        <v>1.2222222222222223</v>
      </c>
      <c r="I31" s="126"/>
      <c r="J31" s="2">
        <f>100/(1/(C24+C24)*0.5)*((1/(C24+E31))^2*E31)</f>
        <v>98.999999999999986</v>
      </c>
      <c r="K31" s="66">
        <f t="shared" si="0"/>
        <v>1.0000000000000142</v>
      </c>
      <c r="L31" s="66"/>
    </row>
    <row r="32" spans="1:15" ht="15.75">
      <c r="A32" s="227"/>
      <c r="B32" s="227"/>
      <c r="C32" s="231"/>
      <c r="D32" s="230"/>
      <c r="E32" s="129">
        <f>-1/((10^(-C31/20)+1)/(10^(-C31/20)-1))*C24</f>
        <v>40.909090909090907</v>
      </c>
      <c r="F32" s="17">
        <f>ABS((E32-$C$24)/(E32+$C$24))</f>
        <v>0.10000000000000003</v>
      </c>
      <c r="G32" s="24">
        <f t="shared" si="1"/>
        <v>-19.999999999999996</v>
      </c>
      <c r="H32" s="66">
        <f>MAX(E32/$C$24,$C$24/E32)</f>
        <v>1.2222222222222223</v>
      </c>
      <c r="I32" s="126"/>
      <c r="J32" s="2">
        <f>100/(1/(C24+C24)*0.5)*((1/(C24+E32))^2*E32)</f>
        <v>99.000000000000014</v>
      </c>
      <c r="K32" s="66">
        <f t="shared" si="0"/>
        <v>0.99999999999998579</v>
      </c>
      <c r="L32" s="66"/>
    </row>
    <row r="33" spans="1:12" ht="15.75">
      <c r="A33" s="163"/>
      <c r="B33" s="168"/>
      <c r="C33" s="169"/>
      <c r="D33" s="170"/>
      <c r="E33" s="171"/>
      <c r="F33" s="172"/>
      <c r="G33" s="173"/>
      <c r="H33" s="174"/>
      <c r="I33" s="175"/>
      <c r="J33" s="176"/>
      <c r="K33" s="66"/>
      <c r="L33" s="66"/>
    </row>
    <row r="34" spans="1:12" ht="15.75">
      <c r="A34" s="163" t="s">
        <v>213</v>
      </c>
      <c r="B34" s="168"/>
      <c r="C34" s="169"/>
      <c r="D34" s="170"/>
      <c r="E34" s="171"/>
      <c r="F34" s="172"/>
      <c r="G34" s="173"/>
      <c r="H34" s="174"/>
      <c r="I34" s="175"/>
      <c r="J34" s="176"/>
      <c r="K34" s="66"/>
      <c r="L34" s="66"/>
    </row>
    <row r="35" spans="1:12" ht="15.75" customHeight="1">
      <c r="A35" s="227" t="s">
        <v>228</v>
      </c>
      <c r="B35" s="227"/>
      <c r="C35" s="227"/>
      <c r="D35" s="227"/>
      <c r="E35" s="227"/>
      <c r="F35" s="227"/>
      <c r="G35" s="227"/>
      <c r="H35" s="227"/>
      <c r="I35" s="227"/>
      <c r="J35" s="227"/>
      <c r="K35" s="227"/>
      <c r="L35" s="66"/>
    </row>
    <row r="36" spans="1:12">
      <c r="L36" s="115"/>
    </row>
    <row r="37" spans="1:12" ht="18.75" customHeight="1">
      <c r="A37" s="220" t="s">
        <v>37</v>
      </c>
      <c r="B37" s="220"/>
      <c r="C37" s="220"/>
      <c r="D37" s="220"/>
      <c r="E37" s="220"/>
      <c r="F37" s="220"/>
      <c r="G37" s="220"/>
      <c r="H37" s="220"/>
      <c r="I37" s="220"/>
      <c r="J37" s="220"/>
      <c r="K37" s="220"/>
    </row>
    <row r="39" spans="1:12" ht="14.65" customHeight="1"/>
    <row r="45" spans="1:12">
      <c r="B45" s="121"/>
    </row>
    <row r="46" spans="1:12">
      <c r="A46" s="112"/>
    </row>
    <row r="47" spans="1:12">
      <c r="A47" s="112"/>
    </row>
    <row r="50" spans="2:6">
      <c r="C50" s="120"/>
    </row>
    <row r="52" spans="2:6">
      <c r="B52" s="121"/>
    </row>
    <row r="54" spans="2:6">
      <c r="E54" s="112"/>
      <c r="F54" s="112"/>
    </row>
    <row r="57" spans="2:6">
      <c r="C57" s="120"/>
    </row>
  </sheetData>
  <sheetProtection sheet="1" objects="1" scenarios="1"/>
  <mergeCells count="8">
    <mergeCell ref="A37:K37"/>
    <mergeCell ref="A29:B30"/>
    <mergeCell ref="C29:C30"/>
    <mergeCell ref="D29:D30"/>
    <mergeCell ref="A31:B32"/>
    <mergeCell ref="C31:C32"/>
    <mergeCell ref="D31:D32"/>
    <mergeCell ref="A35:K35"/>
  </mergeCells>
  <pageMargins left="0.7" right="0.7" top="0.78740157499999996" bottom="0.78740157499999996" header="0.3" footer="0.3"/>
  <pageSetup paperSize="9" scale="7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D9836-38C8-4CC2-A1B7-452B0B8B5264}">
  <sheetPr>
    <pageSetUpPr fitToPage="1"/>
  </sheetPr>
  <dimension ref="A1:O54"/>
  <sheetViews>
    <sheetView topLeftCell="A13" zoomScaleNormal="100" workbookViewId="0">
      <selection activeCell="A46" sqref="A46:M49"/>
    </sheetView>
  </sheetViews>
  <sheetFormatPr defaultColWidth="11.42578125" defaultRowHeight="13.5"/>
  <cols>
    <col min="1" max="5" width="10.7109375" style="10" customWidth="1"/>
    <col min="6" max="6" width="10.7109375" style="1" customWidth="1"/>
    <col min="7" max="13" width="10.7109375" style="10" customWidth="1"/>
    <col min="14" max="16384" width="11.42578125" style="10"/>
  </cols>
  <sheetData>
    <row r="1" spans="1:15">
      <c r="A1" s="53" t="s">
        <v>197</v>
      </c>
      <c r="B1" s="54"/>
      <c r="C1" s="54"/>
      <c r="D1" s="54"/>
      <c r="E1" s="54"/>
      <c r="F1" s="54"/>
      <c r="G1" s="54"/>
      <c r="H1" s="54"/>
      <c r="I1" s="51"/>
      <c r="J1" s="51"/>
      <c r="K1" s="51"/>
      <c r="L1" s="51"/>
      <c r="M1" s="51"/>
      <c r="N1" s="51"/>
      <c r="O1" s="51"/>
    </row>
    <row r="2" spans="1:15">
      <c r="A2" s="54"/>
      <c r="B2" s="54"/>
      <c r="C2" s="54"/>
      <c r="D2" s="54"/>
      <c r="E2" s="54"/>
      <c r="F2" s="54"/>
      <c r="G2" s="54"/>
      <c r="H2" s="54"/>
      <c r="I2" s="51"/>
      <c r="J2" s="51"/>
      <c r="K2" s="51"/>
      <c r="L2" s="51"/>
      <c r="M2" s="51"/>
      <c r="N2" s="51"/>
      <c r="O2" s="51"/>
    </row>
    <row r="3" spans="1:15">
      <c r="A3" s="54" t="s">
        <v>1</v>
      </c>
      <c r="B3" s="59" t="s">
        <v>2</v>
      </c>
      <c r="C3" s="54"/>
      <c r="D3" s="54"/>
      <c r="E3" s="54"/>
      <c r="F3" s="51"/>
      <c r="G3" s="51"/>
      <c r="H3" s="51"/>
      <c r="I3" s="51"/>
      <c r="J3" s="51"/>
      <c r="K3" s="51"/>
      <c r="L3" s="51"/>
      <c r="M3" s="51"/>
      <c r="N3" s="51"/>
      <c r="O3" s="51"/>
    </row>
    <row r="4" spans="1:15">
      <c r="A4" s="54" t="s">
        <v>3</v>
      </c>
      <c r="B4" s="54" t="s">
        <v>4</v>
      </c>
      <c r="C4" s="54"/>
      <c r="D4" s="54"/>
      <c r="E4" s="54"/>
      <c r="F4" s="51"/>
      <c r="G4" s="51"/>
      <c r="H4" s="51"/>
      <c r="I4" s="51"/>
      <c r="J4" s="51"/>
      <c r="K4" s="51"/>
      <c r="L4" s="51"/>
      <c r="M4" s="51"/>
      <c r="N4" s="51"/>
      <c r="O4" s="51"/>
    </row>
    <row r="5" spans="1:15">
      <c r="A5" s="54" t="s">
        <v>5</v>
      </c>
      <c r="B5" s="54" t="s">
        <v>231</v>
      </c>
      <c r="C5" s="54"/>
      <c r="D5" s="54"/>
      <c r="E5" s="54"/>
      <c r="F5" s="51"/>
      <c r="G5" s="51"/>
      <c r="H5" s="51"/>
      <c r="I5" s="51"/>
      <c r="J5" s="51"/>
      <c r="K5" s="51"/>
      <c r="L5" s="51"/>
      <c r="M5" s="51"/>
      <c r="N5" s="51"/>
      <c r="O5" s="51"/>
    </row>
    <row r="6" spans="1:15">
      <c r="A6" s="51"/>
      <c r="B6" s="51"/>
      <c r="C6" s="51"/>
      <c r="D6" s="51"/>
      <c r="E6" s="51"/>
      <c r="F6" s="54"/>
      <c r="G6" s="51"/>
      <c r="H6" s="51"/>
      <c r="I6" s="51"/>
      <c r="J6" s="51"/>
      <c r="K6" s="66"/>
      <c r="L6" s="66"/>
      <c r="M6" s="66"/>
      <c r="N6" s="66"/>
      <c r="O6" s="51"/>
    </row>
    <row r="7" spans="1:15">
      <c r="A7" s="54" t="s">
        <v>203</v>
      </c>
      <c r="B7" s="51"/>
      <c r="C7" s="51"/>
      <c r="D7" s="51"/>
      <c r="E7" s="51"/>
      <c r="F7" s="54"/>
      <c r="G7" s="51"/>
      <c r="H7" s="51"/>
      <c r="I7" s="51"/>
      <c r="J7" s="51"/>
      <c r="K7" s="51"/>
      <c r="L7" s="66"/>
      <c r="M7" s="66"/>
      <c r="N7" s="66"/>
      <c r="O7" s="51"/>
    </row>
    <row r="8" spans="1:15">
      <c r="A8" s="54" t="s">
        <v>204</v>
      </c>
      <c r="B8" s="51"/>
      <c r="C8" s="51"/>
      <c r="D8" s="51"/>
      <c r="E8" s="51"/>
      <c r="F8" s="54"/>
      <c r="G8" s="51"/>
      <c r="H8" s="51"/>
      <c r="I8" s="51"/>
      <c r="J8" s="51"/>
      <c r="K8" s="51"/>
      <c r="L8" s="66"/>
      <c r="M8" s="66"/>
      <c r="N8" s="66"/>
      <c r="O8" s="51"/>
    </row>
    <row r="9" spans="1:15">
      <c r="A9" s="51"/>
      <c r="B9" s="51"/>
      <c r="C9" s="51"/>
      <c r="D9" s="77"/>
      <c r="E9" s="77"/>
      <c r="F9" s="72"/>
      <c r="G9" s="77"/>
      <c r="H9" s="77"/>
      <c r="I9" s="51"/>
      <c r="J9" s="51"/>
      <c r="K9" s="66"/>
      <c r="L9" s="66"/>
      <c r="M9" s="66"/>
      <c r="N9" s="66"/>
      <c r="O9" s="51"/>
    </row>
    <row r="10" spans="1:15">
      <c r="A10" s="60" t="s">
        <v>42</v>
      </c>
      <c r="B10" s="64"/>
      <c r="C10" s="61" t="s">
        <v>31</v>
      </c>
      <c r="D10" s="61" t="s">
        <v>11</v>
      </c>
      <c r="E10" s="77"/>
      <c r="F10" s="77"/>
      <c r="G10" s="77"/>
      <c r="H10" s="77"/>
      <c r="I10" s="51"/>
      <c r="J10" s="51"/>
      <c r="K10" s="51"/>
      <c r="L10" s="51"/>
      <c r="M10" s="51"/>
      <c r="N10" s="51"/>
      <c r="O10" s="51"/>
    </row>
    <row r="11" spans="1:15">
      <c r="A11" s="143" t="s">
        <v>98</v>
      </c>
      <c r="B11" s="66"/>
      <c r="C11" s="19">
        <f>1/SQRT(C12*C13)</f>
        <v>299795637.69321626</v>
      </c>
      <c r="D11" s="52" t="s">
        <v>46</v>
      </c>
      <c r="E11" s="77"/>
      <c r="F11" s="77"/>
      <c r="G11" s="77"/>
      <c r="H11" s="77"/>
      <c r="I11" s="51"/>
      <c r="J11" s="51"/>
      <c r="K11" s="51"/>
      <c r="L11" s="51"/>
      <c r="M11" s="51"/>
      <c r="N11" s="51"/>
      <c r="O11" s="51"/>
    </row>
    <row r="12" spans="1:15">
      <c r="A12" s="143" t="s">
        <v>49</v>
      </c>
      <c r="B12" s="66"/>
      <c r="C12" s="19">
        <v>8.8539999999999992E-12</v>
      </c>
      <c r="D12" s="52" t="s">
        <v>50</v>
      </c>
      <c r="E12" s="77"/>
      <c r="F12" s="77"/>
      <c r="G12" s="77"/>
      <c r="H12" s="77"/>
      <c r="I12" s="51"/>
      <c r="J12" s="51"/>
      <c r="K12" s="51"/>
      <c r="L12" s="51"/>
      <c r="M12" s="51"/>
      <c r="N12" s="51"/>
      <c r="O12" s="51"/>
    </row>
    <row r="13" spans="1:15">
      <c r="A13" s="143" t="s">
        <v>53</v>
      </c>
      <c r="B13" s="66"/>
      <c r="C13" s="19">
        <f>4*PI()*0.0000001</f>
        <v>1.2566370614359173E-6</v>
      </c>
      <c r="D13" s="52" t="s">
        <v>54</v>
      </c>
      <c r="E13" s="51"/>
      <c r="F13" s="51"/>
      <c r="G13" s="51"/>
      <c r="H13" s="51"/>
      <c r="I13" s="51"/>
      <c r="J13" s="51"/>
      <c r="K13" s="51"/>
      <c r="L13" s="51"/>
      <c r="M13" s="51"/>
      <c r="N13" s="51"/>
      <c r="O13" s="51"/>
    </row>
    <row r="14" spans="1:15" ht="15.75" customHeight="1">
      <c r="A14" s="143"/>
      <c r="B14" s="54"/>
      <c r="C14" s="76"/>
      <c r="D14" s="57"/>
      <c r="E14" s="68"/>
      <c r="F14" s="66"/>
      <c r="G14" s="51"/>
      <c r="H14" s="66"/>
      <c r="I14" s="66"/>
      <c r="J14" s="66"/>
      <c r="K14" s="57"/>
      <c r="L14" s="57"/>
      <c r="M14" s="57"/>
      <c r="N14" s="51"/>
      <c r="O14" s="51"/>
    </row>
    <row r="15" spans="1:15">
      <c r="A15" s="60" t="s">
        <v>30</v>
      </c>
      <c r="B15" s="60"/>
      <c r="C15" s="70" t="s">
        <v>31</v>
      </c>
      <c r="D15" s="79" t="s">
        <v>11</v>
      </c>
      <c r="E15" s="80" t="s">
        <v>32</v>
      </c>
      <c r="F15" s="64"/>
      <c r="G15" s="64"/>
      <c r="H15" s="119"/>
      <c r="I15" s="55"/>
      <c r="J15" s="55"/>
      <c r="K15" s="55"/>
      <c r="L15" s="55"/>
      <c r="M15" s="55"/>
      <c r="N15" s="51"/>
      <c r="O15" s="51"/>
    </row>
    <row r="16" spans="1:15">
      <c r="A16" s="52" t="s">
        <v>205</v>
      </c>
      <c r="B16" s="51"/>
      <c r="C16" s="145" t="s">
        <v>102</v>
      </c>
      <c r="D16" s="148" t="s">
        <v>103</v>
      </c>
      <c r="E16" s="52" t="s">
        <v>207</v>
      </c>
      <c r="F16" s="51"/>
      <c r="G16" s="51"/>
      <c r="H16" s="54"/>
      <c r="I16" s="77"/>
      <c r="J16" s="51"/>
      <c r="K16" s="51"/>
      <c r="L16" s="51"/>
      <c r="M16" s="51"/>
      <c r="N16" s="51"/>
      <c r="O16" s="51"/>
    </row>
    <row r="17" spans="1:15">
      <c r="A17" s="76" t="s">
        <v>206</v>
      </c>
      <c r="B17" s="77"/>
      <c r="C17" s="146" t="s">
        <v>102</v>
      </c>
      <c r="D17" s="78" t="s">
        <v>103</v>
      </c>
      <c r="E17" s="52" t="s">
        <v>208</v>
      </c>
      <c r="F17" s="77"/>
      <c r="G17" s="77"/>
      <c r="H17" s="72"/>
      <c r="I17" s="77"/>
      <c r="J17" s="77"/>
      <c r="K17" s="51"/>
      <c r="L17" s="51"/>
      <c r="M17" s="51"/>
      <c r="N17" s="51"/>
      <c r="O17" s="51"/>
    </row>
    <row r="18" spans="1:15" s="21" customFormat="1">
      <c r="A18" s="76" t="s">
        <v>201</v>
      </c>
      <c r="B18" s="77"/>
      <c r="C18" s="161">
        <f>1/SQRT(C12*C16*C13*C17)</f>
        <v>299795637.69321626</v>
      </c>
      <c r="D18" s="78" t="s">
        <v>198</v>
      </c>
      <c r="E18" s="52" t="s">
        <v>202</v>
      </c>
      <c r="F18" s="77"/>
      <c r="G18" s="77"/>
      <c r="H18" s="72"/>
      <c r="I18" s="77"/>
      <c r="J18" s="77"/>
      <c r="K18" s="51"/>
      <c r="L18" s="151"/>
      <c r="M18" s="151"/>
      <c r="N18" s="151"/>
      <c r="O18" s="151"/>
    </row>
    <row r="19" spans="1:15" ht="6.75" customHeight="1">
      <c r="A19" s="51"/>
      <c r="B19" s="51"/>
      <c r="C19" s="57"/>
      <c r="D19" s="51"/>
      <c r="E19" s="51"/>
      <c r="F19" s="54"/>
      <c r="G19" s="51"/>
      <c r="H19" s="51"/>
      <c r="I19" s="51"/>
      <c r="J19" s="51"/>
      <c r="K19" s="153"/>
      <c r="L19" s="57"/>
      <c r="M19" s="57"/>
      <c r="N19" s="51"/>
      <c r="O19" s="51"/>
    </row>
    <row r="20" spans="1:15">
      <c r="A20" s="65" t="s">
        <v>120</v>
      </c>
      <c r="B20" s="55"/>
      <c r="C20" s="57"/>
      <c r="D20" s="60"/>
      <c r="E20" s="60"/>
      <c r="F20" s="55"/>
      <c r="G20" s="55"/>
      <c r="H20" s="56"/>
      <c r="I20" s="55"/>
      <c r="J20" s="55"/>
      <c r="K20" s="154"/>
      <c r="L20" s="55"/>
      <c r="M20" s="55"/>
      <c r="N20" s="51"/>
      <c r="O20" s="51"/>
    </row>
    <row r="21" spans="1:15">
      <c r="A21" s="56" t="s">
        <v>209</v>
      </c>
      <c r="B21" s="55"/>
      <c r="C21" s="55"/>
      <c r="D21" s="60"/>
      <c r="E21" s="60"/>
      <c r="F21" s="64"/>
      <c r="G21" s="64"/>
      <c r="H21" s="119"/>
      <c r="I21" s="55"/>
      <c r="J21" s="55"/>
      <c r="K21" s="154"/>
      <c r="L21" s="55"/>
      <c r="M21" s="55"/>
      <c r="N21" s="51"/>
      <c r="O21" s="51"/>
    </row>
    <row r="22" spans="1:15">
      <c r="A22" s="147" t="s">
        <v>36</v>
      </c>
      <c r="B22" s="57"/>
      <c r="C22" s="61" t="s">
        <v>31</v>
      </c>
      <c r="D22" s="70" t="s">
        <v>11</v>
      </c>
      <c r="E22" s="100" t="s">
        <v>112</v>
      </c>
      <c r="F22" s="117" t="s">
        <v>124</v>
      </c>
      <c r="G22" s="117" t="s">
        <v>211</v>
      </c>
      <c r="H22" s="102" t="s">
        <v>32</v>
      </c>
      <c r="I22" s="58"/>
      <c r="J22" s="58"/>
      <c r="K22" s="55"/>
      <c r="L22" s="154"/>
      <c r="M22" s="118"/>
      <c r="N22" s="51"/>
      <c r="O22" s="51"/>
    </row>
    <row r="23" spans="1:15">
      <c r="A23" s="54" t="s">
        <v>96</v>
      </c>
      <c r="B23" s="54"/>
      <c r="C23" s="150">
        <v>1000000000</v>
      </c>
      <c r="D23" s="144" t="s">
        <v>97</v>
      </c>
      <c r="E23" s="22"/>
      <c r="F23" s="24">
        <f>$C$11/(C23*SQRT(C16*C17))</f>
        <v>0.29979563769321627</v>
      </c>
      <c r="G23" s="162">
        <f>F23/2</f>
        <v>0.14989781884660813</v>
      </c>
      <c r="H23" s="52" t="s">
        <v>199</v>
      </c>
      <c r="I23" s="50"/>
      <c r="J23" s="77"/>
      <c r="K23" s="51"/>
      <c r="L23" s="51"/>
      <c r="N23" s="51"/>
      <c r="O23" s="51"/>
    </row>
    <row r="24" spans="1:15">
      <c r="A24" s="54" t="s">
        <v>99</v>
      </c>
      <c r="B24" s="54"/>
      <c r="C24" s="146" t="s">
        <v>210</v>
      </c>
      <c r="D24" s="144" t="s">
        <v>100</v>
      </c>
      <c r="E24" s="149">
        <f>$C$11/(C24*SQRT(C16*C17))</f>
        <v>1002660995.6294858</v>
      </c>
      <c r="F24" s="4"/>
      <c r="G24" s="4"/>
      <c r="H24" s="52" t="s">
        <v>200</v>
      </c>
      <c r="I24" s="50"/>
      <c r="J24" s="51"/>
      <c r="K24" s="51"/>
      <c r="L24" s="51"/>
      <c r="N24" s="51"/>
      <c r="O24" s="51"/>
    </row>
    <row r="25" spans="1:15">
      <c r="A25" s="51"/>
      <c r="B25" s="51"/>
      <c r="C25" s="51"/>
      <c r="D25" s="51"/>
      <c r="E25" s="51"/>
      <c r="F25" s="54"/>
      <c r="G25" s="51"/>
      <c r="H25" s="51"/>
      <c r="I25" s="51"/>
      <c r="J25" s="51"/>
      <c r="K25" s="51"/>
      <c r="L25" s="51"/>
      <c r="M25" s="51"/>
      <c r="N25" s="51"/>
      <c r="O25" s="51"/>
    </row>
    <row r="26" spans="1:15">
      <c r="A26" s="51"/>
      <c r="B26" s="51"/>
      <c r="C26" s="51"/>
      <c r="D26" s="51"/>
      <c r="E26" s="51"/>
      <c r="F26" s="54"/>
      <c r="G26" s="51"/>
      <c r="H26" s="51"/>
      <c r="I26" s="51"/>
      <c r="J26" s="51"/>
      <c r="K26" s="51"/>
      <c r="L26" s="51"/>
      <c r="M26" s="51"/>
      <c r="N26" s="51"/>
      <c r="O26" s="51"/>
    </row>
    <row r="27" spans="1:15">
      <c r="A27" s="51"/>
      <c r="B27" s="51"/>
      <c r="C27" s="51"/>
      <c r="D27" s="51"/>
      <c r="E27" s="51"/>
      <c r="F27" s="54"/>
      <c r="G27" s="51"/>
      <c r="H27" s="51"/>
      <c r="I27" s="51"/>
      <c r="J27" s="51"/>
      <c r="K27" s="51"/>
      <c r="L27" s="51"/>
      <c r="M27" s="51"/>
      <c r="N27" s="51"/>
      <c r="O27" s="51"/>
    </row>
    <row r="28" spans="1:15">
      <c r="A28" s="51"/>
      <c r="B28" s="51"/>
      <c r="C28" s="51"/>
      <c r="D28" s="51"/>
      <c r="E28" s="51"/>
      <c r="F28" s="54"/>
      <c r="G28" s="51"/>
      <c r="H28" s="27"/>
      <c r="I28" s="51"/>
      <c r="J28" s="51"/>
      <c r="K28" s="51"/>
      <c r="L28" s="51"/>
      <c r="M28" s="51"/>
      <c r="N28" s="51"/>
      <c r="O28" s="51"/>
    </row>
    <row r="29" spans="1:15">
      <c r="A29" s="51"/>
      <c r="B29" s="51"/>
      <c r="C29" s="51"/>
      <c r="D29" s="51"/>
      <c r="E29" s="51"/>
      <c r="F29" s="54"/>
      <c r="G29" s="51"/>
      <c r="H29" s="51"/>
      <c r="I29" s="51"/>
      <c r="J29" s="51"/>
      <c r="K29" s="51"/>
      <c r="L29" s="51"/>
      <c r="M29" s="51"/>
      <c r="N29" s="51"/>
      <c r="O29" s="51"/>
    </row>
    <row r="30" spans="1:15" s="28" customFormat="1">
      <c r="A30" s="51"/>
      <c r="B30" s="51"/>
      <c r="C30" s="51"/>
      <c r="D30" s="51"/>
      <c r="E30" s="51"/>
      <c r="F30" s="54"/>
      <c r="G30" s="51"/>
      <c r="H30" s="51"/>
      <c r="I30" s="51"/>
      <c r="J30" s="51"/>
      <c r="K30" s="152"/>
      <c r="L30" s="152"/>
      <c r="M30" s="152"/>
      <c r="N30" s="152"/>
      <c r="O30" s="152"/>
    </row>
    <row r="31" spans="1:15">
      <c r="A31" s="77"/>
      <c r="B31" s="77"/>
      <c r="C31" s="77"/>
      <c r="D31" s="77"/>
      <c r="E31" s="77"/>
      <c r="F31" s="72"/>
      <c r="G31" s="77"/>
      <c r="H31" s="77"/>
      <c r="I31" s="77"/>
      <c r="J31" s="77"/>
      <c r="K31" s="51"/>
      <c r="L31" s="51"/>
      <c r="M31" s="51"/>
      <c r="N31" s="51"/>
      <c r="O31" s="51"/>
    </row>
    <row r="32" spans="1:15">
      <c r="A32" s="77"/>
      <c r="B32" s="77"/>
      <c r="C32" s="77"/>
      <c r="D32" s="77"/>
      <c r="E32" s="77"/>
      <c r="F32" s="72"/>
      <c r="G32" s="77"/>
      <c r="H32" s="77"/>
      <c r="I32" s="77"/>
      <c r="J32" s="77"/>
      <c r="K32" s="51"/>
      <c r="L32" s="51"/>
      <c r="M32" s="51"/>
      <c r="N32" s="51"/>
      <c r="O32" s="51"/>
    </row>
    <row r="33" spans="1:15">
      <c r="A33" s="155"/>
      <c r="B33" s="155"/>
      <c r="C33" s="155"/>
      <c r="D33" s="155"/>
      <c r="E33" s="155"/>
      <c r="F33" s="155"/>
      <c r="G33" s="155"/>
      <c r="H33" s="77"/>
      <c r="I33" s="77"/>
      <c r="J33" s="77"/>
      <c r="K33" s="51"/>
      <c r="L33" s="51"/>
      <c r="M33" s="51"/>
      <c r="N33" s="51"/>
      <c r="O33" s="51"/>
    </row>
    <row r="34" spans="1:15" ht="12" customHeight="1">
      <c r="A34" s="160"/>
      <c r="B34" s="156"/>
      <c r="C34" s="156"/>
      <c r="D34" s="156"/>
      <c r="E34" s="156"/>
      <c r="F34" s="157"/>
      <c r="G34" s="157"/>
      <c r="H34" s="158"/>
      <c r="I34" s="158"/>
      <c r="J34" s="158"/>
      <c r="K34" s="51"/>
      <c r="L34" s="51"/>
      <c r="M34" s="51"/>
      <c r="N34" s="51"/>
      <c r="O34" s="51"/>
    </row>
    <row r="35" spans="1:15">
      <c r="A35" s="156"/>
      <c r="B35" s="156"/>
      <c r="C35" s="156"/>
      <c r="D35" s="156"/>
      <c r="E35" s="156"/>
      <c r="F35" s="157"/>
      <c r="G35" s="156"/>
      <c r="H35" s="77"/>
      <c r="I35" s="77"/>
      <c r="J35" s="77"/>
      <c r="K35" s="51"/>
      <c r="L35" s="51"/>
      <c r="M35" s="51"/>
      <c r="N35" s="51"/>
      <c r="O35" s="51"/>
    </row>
    <row r="36" spans="1:15">
      <c r="A36" s="77"/>
      <c r="B36" s="77"/>
      <c r="C36" s="77"/>
      <c r="D36" s="77"/>
      <c r="E36" s="77"/>
      <c r="F36" s="72"/>
      <c r="G36" s="77"/>
      <c r="H36" s="77"/>
      <c r="I36" s="77"/>
      <c r="J36" s="77"/>
      <c r="K36" s="51"/>
      <c r="L36" s="51"/>
      <c r="M36" s="51"/>
      <c r="N36" s="51"/>
      <c r="O36" s="51"/>
    </row>
    <row r="37" spans="1:15">
      <c r="A37" s="77"/>
      <c r="B37" s="77"/>
      <c r="C37" s="77"/>
      <c r="D37" s="77"/>
      <c r="E37" s="77"/>
      <c r="F37" s="72"/>
      <c r="G37" s="77"/>
      <c r="H37" s="77"/>
      <c r="I37" s="77"/>
      <c r="J37" s="77"/>
      <c r="K37" s="51"/>
      <c r="L37" s="51"/>
      <c r="M37" s="51"/>
      <c r="N37" s="51"/>
      <c r="O37" s="51"/>
    </row>
    <row r="38" spans="1:15" ht="12">
      <c r="A38" s="159"/>
      <c r="B38" s="159"/>
      <c r="C38" s="159"/>
      <c r="D38" s="159"/>
      <c r="E38" s="159"/>
      <c r="F38" s="159"/>
      <c r="G38" s="77"/>
      <c r="H38" s="77"/>
      <c r="I38" s="77"/>
      <c r="J38" s="77"/>
      <c r="K38" s="51"/>
      <c r="L38" s="51"/>
      <c r="M38" s="51"/>
      <c r="N38" s="51"/>
      <c r="O38" s="51"/>
    </row>
    <row r="39" spans="1:15" ht="12">
      <c r="A39" s="159"/>
      <c r="B39" s="159"/>
      <c r="C39" s="159"/>
      <c r="D39" s="159"/>
      <c r="E39" s="159"/>
      <c r="F39" s="159"/>
      <c r="G39" s="77"/>
      <c r="H39" s="77"/>
      <c r="I39" s="77"/>
      <c r="J39" s="77"/>
      <c r="K39" s="51"/>
      <c r="L39" s="51"/>
      <c r="M39" s="51"/>
      <c r="N39" s="51"/>
      <c r="O39" s="51"/>
    </row>
    <row r="40" spans="1:15" ht="12">
      <c r="A40" s="159"/>
      <c r="B40" s="159"/>
      <c r="C40" s="159"/>
      <c r="D40" s="159"/>
      <c r="E40" s="159"/>
      <c r="F40" s="159"/>
      <c r="G40" s="77"/>
      <c r="H40" s="77"/>
      <c r="I40" s="77"/>
      <c r="J40" s="77"/>
      <c r="K40" s="51"/>
      <c r="L40" s="51"/>
      <c r="M40" s="51"/>
      <c r="N40" s="51"/>
      <c r="O40" s="51"/>
    </row>
    <row r="41" spans="1:15">
      <c r="A41" s="77"/>
      <c r="B41" s="77"/>
      <c r="C41" s="77"/>
      <c r="D41" s="77"/>
      <c r="E41" s="77"/>
      <c r="F41" s="72"/>
      <c r="G41" s="77"/>
      <c r="H41" s="77"/>
      <c r="I41" s="77"/>
      <c r="J41" s="77"/>
      <c r="K41" s="51"/>
      <c r="L41" s="51"/>
      <c r="M41" s="51"/>
      <c r="N41" s="51"/>
      <c r="O41" s="51"/>
    </row>
    <row r="42" spans="1:15">
      <c r="A42" s="77"/>
      <c r="B42" s="77"/>
      <c r="C42" s="77"/>
      <c r="D42" s="77"/>
      <c r="E42" s="77"/>
      <c r="F42" s="72"/>
      <c r="G42" s="77"/>
      <c r="H42" s="77"/>
      <c r="I42" s="77"/>
      <c r="J42" s="77"/>
      <c r="K42" s="51"/>
      <c r="L42" s="51"/>
      <c r="M42" s="51"/>
      <c r="N42" s="51"/>
      <c r="O42" s="51"/>
    </row>
    <row r="43" spans="1:15">
      <c r="A43" s="77"/>
      <c r="B43" s="77"/>
      <c r="C43" s="77"/>
      <c r="D43" s="77"/>
      <c r="E43" s="77"/>
      <c r="F43" s="72"/>
      <c r="G43" s="77"/>
      <c r="H43" s="77"/>
      <c r="I43" s="77"/>
      <c r="J43" s="77"/>
      <c r="K43" s="51"/>
      <c r="L43" s="51"/>
      <c r="M43" s="51"/>
      <c r="N43" s="51"/>
      <c r="O43" s="51"/>
    </row>
    <row r="44" spans="1:15">
      <c r="A44" s="77"/>
      <c r="B44" s="77"/>
      <c r="C44" s="77"/>
      <c r="D44" s="77"/>
      <c r="E44" s="77"/>
      <c r="F44" s="72"/>
      <c r="G44" s="77"/>
      <c r="H44" s="77"/>
      <c r="I44" s="77"/>
      <c r="J44" s="77"/>
      <c r="K44" s="51"/>
      <c r="L44" s="51"/>
      <c r="M44" s="51"/>
      <c r="N44" s="51"/>
      <c r="O44" s="51"/>
    </row>
    <row r="45" spans="1:15">
      <c r="A45" s="77"/>
      <c r="B45" s="77"/>
      <c r="C45" s="77"/>
      <c r="D45" s="77"/>
      <c r="E45" s="77"/>
      <c r="F45" s="72"/>
      <c r="G45" s="77"/>
      <c r="H45" s="77"/>
      <c r="I45" s="77"/>
      <c r="J45" s="77"/>
      <c r="K45" s="51"/>
      <c r="L45" s="51"/>
      <c r="M45" s="51"/>
      <c r="N45" s="51"/>
      <c r="O45" s="51"/>
    </row>
    <row r="46" spans="1:15" ht="15">
      <c r="A46" s="163" t="s">
        <v>213</v>
      </c>
      <c r="B46" s="168"/>
      <c r="C46" s="169"/>
      <c r="D46" s="170"/>
      <c r="E46" s="171"/>
      <c r="F46" s="172"/>
      <c r="G46" s="173"/>
      <c r="H46" s="174"/>
      <c r="I46" s="175"/>
      <c r="J46" s="176"/>
      <c r="K46" s="66"/>
      <c r="L46" s="51"/>
      <c r="M46" s="51"/>
      <c r="N46" s="51"/>
      <c r="O46" s="51"/>
    </row>
    <row r="47" spans="1:15">
      <c r="A47" s="163" t="s">
        <v>230</v>
      </c>
      <c r="B47" s="163"/>
      <c r="C47" s="163"/>
      <c r="D47" s="163"/>
      <c r="E47" s="163"/>
      <c r="F47" s="163"/>
      <c r="G47" s="163"/>
      <c r="H47" s="163"/>
      <c r="I47" s="163"/>
      <c r="J47" s="163"/>
      <c r="K47" s="163"/>
      <c r="L47" s="182"/>
      <c r="M47" s="182"/>
      <c r="N47" s="51"/>
      <c r="O47" s="51"/>
    </row>
    <row r="48" spans="1:15">
      <c r="A48" s="30"/>
      <c r="B48" s="30"/>
      <c r="C48" s="30"/>
      <c r="D48" s="77"/>
      <c r="E48" s="77"/>
      <c r="F48" s="72"/>
      <c r="G48" s="77"/>
      <c r="H48" s="77"/>
      <c r="I48" s="77"/>
      <c r="J48" s="77"/>
      <c r="K48" s="51"/>
      <c r="L48" s="51"/>
      <c r="M48" s="51"/>
      <c r="N48" s="51"/>
      <c r="O48" s="51"/>
    </row>
    <row r="49" spans="1:13" ht="21.75" customHeight="1">
      <c r="A49" s="220" t="s">
        <v>37</v>
      </c>
      <c r="B49" s="220"/>
      <c r="C49" s="220"/>
      <c r="D49" s="220"/>
      <c r="E49" s="220"/>
      <c r="F49" s="220"/>
      <c r="G49" s="220"/>
      <c r="H49" s="220"/>
      <c r="I49" s="220"/>
      <c r="J49" s="220"/>
      <c r="K49" s="220"/>
      <c r="L49" s="220"/>
      <c r="M49" s="220"/>
    </row>
    <row r="50" spans="1:13">
      <c r="A50" s="30"/>
      <c r="B50" s="30"/>
      <c r="C50" s="30"/>
      <c r="D50" s="30"/>
      <c r="E50" s="30"/>
      <c r="F50" s="31"/>
      <c r="G50" s="30"/>
      <c r="H50" s="30"/>
      <c r="I50" s="30"/>
      <c r="J50" s="30"/>
    </row>
    <row r="51" spans="1:13">
      <c r="A51" s="30"/>
      <c r="B51" s="30"/>
      <c r="C51" s="30"/>
      <c r="D51" s="30"/>
      <c r="E51" s="30"/>
      <c r="F51" s="31"/>
      <c r="G51" s="30"/>
      <c r="H51" s="30"/>
      <c r="I51" s="30"/>
      <c r="J51" s="30"/>
    </row>
    <row r="52" spans="1:13">
      <c r="A52" s="30"/>
      <c r="B52" s="30"/>
      <c r="C52" s="30"/>
      <c r="D52" s="30"/>
      <c r="E52" s="30"/>
      <c r="F52" s="31"/>
      <c r="G52" s="30"/>
      <c r="H52" s="30"/>
      <c r="I52" s="30"/>
      <c r="J52" s="30"/>
    </row>
    <row r="53" spans="1:13">
      <c r="A53" s="30"/>
      <c r="B53" s="30"/>
      <c r="C53" s="30"/>
      <c r="D53" s="30"/>
      <c r="E53" s="30"/>
      <c r="F53" s="31"/>
      <c r="G53" s="30"/>
      <c r="H53" s="30"/>
      <c r="I53" s="30"/>
      <c r="J53" s="30"/>
    </row>
    <row r="54" spans="1:13">
      <c r="A54" s="30"/>
      <c r="B54" s="30"/>
      <c r="C54" s="30"/>
      <c r="D54" s="30"/>
      <c r="E54" s="30"/>
      <c r="F54" s="31"/>
      <c r="G54" s="30"/>
      <c r="H54" s="30"/>
      <c r="I54" s="30"/>
      <c r="J54" s="30"/>
    </row>
  </sheetData>
  <sheetProtection sheet="1" objects="1" scenarios="1"/>
  <mergeCells count="1">
    <mergeCell ref="A49:M49"/>
  </mergeCells>
  <pageMargins left="0.25" right="0.25" top="0.75" bottom="0.75" header="0.3" footer="0.3"/>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B535C-FA7E-4EBB-9537-489566EBE4E3}">
  <dimension ref="A1:M36"/>
  <sheetViews>
    <sheetView topLeftCell="A4" zoomScaleNormal="100" workbookViewId="0">
      <selection activeCell="D30" sqref="D30"/>
    </sheetView>
  </sheetViews>
  <sheetFormatPr defaultRowHeight="15"/>
  <cols>
    <col min="1" max="1" width="40.140625" bestFit="1" customWidth="1"/>
  </cols>
  <sheetData>
    <row r="1" spans="1:13" ht="15.75">
      <c r="A1" s="53" t="s">
        <v>310</v>
      </c>
      <c r="B1" s="54"/>
      <c r="C1" s="54"/>
      <c r="D1" s="54"/>
      <c r="E1" s="54"/>
      <c r="F1" s="54"/>
      <c r="G1" s="54"/>
      <c r="H1" s="54"/>
      <c r="I1" s="51"/>
      <c r="J1" s="51"/>
      <c r="K1" s="51"/>
      <c r="L1" s="51"/>
      <c r="M1" s="51"/>
    </row>
    <row r="2" spans="1:13" ht="15.75">
      <c r="A2" s="54"/>
      <c r="B2" s="54"/>
      <c r="C2" s="54"/>
      <c r="D2" s="54"/>
      <c r="E2" s="54"/>
      <c r="F2" s="54"/>
      <c r="G2" s="54"/>
      <c r="H2" s="54"/>
      <c r="I2" s="51"/>
      <c r="J2" s="51"/>
      <c r="K2" s="51"/>
      <c r="L2" s="51"/>
      <c r="M2" s="51"/>
    </row>
    <row r="3" spans="1:13" ht="15.75">
      <c r="A3" s="54" t="s">
        <v>1</v>
      </c>
      <c r="B3" s="59" t="s">
        <v>2</v>
      </c>
      <c r="C3" s="54"/>
      <c r="D3" s="54"/>
      <c r="E3" s="54"/>
      <c r="F3" s="51"/>
      <c r="G3" s="51"/>
      <c r="H3" s="51"/>
      <c r="I3" s="51"/>
      <c r="J3" s="51"/>
      <c r="K3" s="51"/>
      <c r="L3" s="51"/>
      <c r="M3" s="51"/>
    </row>
    <row r="4" spans="1:13" ht="15.75">
      <c r="A4" s="54" t="s">
        <v>3</v>
      </c>
      <c r="B4" s="54" t="s">
        <v>4</v>
      </c>
      <c r="C4" s="54"/>
      <c r="D4" s="54"/>
      <c r="E4" s="54"/>
      <c r="F4" s="51"/>
      <c r="G4" s="51"/>
      <c r="H4" s="51"/>
      <c r="I4" s="51"/>
      <c r="J4" s="51"/>
      <c r="K4" s="51"/>
      <c r="L4" s="51"/>
      <c r="M4" s="51"/>
    </row>
    <row r="5" spans="1:13" ht="15.75">
      <c r="A5" s="54" t="s">
        <v>5</v>
      </c>
      <c r="B5" s="54" t="s">
        <v>231</v>
      </c>
      <c r="C5" s="54"/>
      <c r="D5" s="54"/>
      <c r="E5" s="54"/>
      <c r="F5" s="51"/>
      <c r="G5" s="51"/>
      <c r="H5" s="51"/>
      <c r="I5" s="51"/>
      <c r="J5" s="51"/>
      <c r="K5" s="51"/>
      <c r="L5" s="51"/>
      <c r="M5" s="51"/>
    </row>
    <row r="6" spans="1:13" ht="15.75">
      <c r="A6" s="67"/>
      <c r="B6" s="67"/>
      <c r="C6" s="67"/>
      <c r="D6" s="67"/>
      <c r="E6" s="67"/>
      <c r="F6" s="57"/>
      <c r="G6" s="57"/>
      <c r="H6" s="77"/>
      <c r="I6" s="77"/>
      <c r="J6" s="77"/>
      <c r="K6" s="77"/>
      <c r="L6" s="77"/>
      <c r="M6" s="77"/>
    </row>
    <row r="7" spans="1:13" ht="25.5" customHeight="1">
      <c r="A7" s="271" t="s">
        <v>276</v>
      </c>
      <c r="B7" s="272" t="s">
        <v>277</v>
      </c>
      <c r="C7" s="273"/>
      <c r="D7" s="273"/>
      <c r="E7" s="273"/>
      <c r="F7" s="273"/>
      <c r="G7" s="273"/>
      <c r="H7" s="267"/>
      <c r="I7" s="267"/>
      <c r="J7" s="267"/>
      <c r="K7" s="267"/>
      <c r="L7" s="267"/>
      <c r="M7" s="267"/>
    </row>
    <row r="8" spans="1:13">
      <c r="A8" s="274"/>
      <c r="B8" s="275" t="s">
        <v>278</v>
      </c>
      <c r="C8" s="275" t="s">
        <v>279</v>
      </c>
      <c r="D8" s="275" t="s">
        <v>280</v>
      </c>
      <c r="E8" s="275" t="s">
        <v>281</v>
      </c>
      <c r="F8" s="275" t="s">
        <v>282</v>
      </c>
      <c r="G8" s="275" t="s">
        <v>283</v>
      </c>
      <c r="H8" s="268"/>
      <c r="I8" s="268"/>
      <c r="J8" s="268"/>
      <c r="K8" s="268"/>
      <c r="L8" s="268"/>
      <c r="M8" s="268"/>
    </row>
    <row r="9" spans="1:13">
      <c r="A9" s="276" t="s">
        <v>285</v>
      </c>
      <c r="B9" s="277" t="s">
        <v>284</v>
      </c>
      <c r="C9" s="278">
        <v>3.17</v>
      </c>
      <c r="D9" s="278">
        <v>3.02</v>
      </c>
      <c r="E9" s="278">
        <v>2.96</v>
      </c>
      <c r="F9" s="277" t="s">
        <v>284</v>
      </c>
      <c r="G9" s="277" t="s">
        <v>284</v>
      </c>
      <c r="H9" s="269"/>
      <c r="I9" s="269"/>
      <c r="J9" s="269"/>
      <c r="K9" s="270"/>
      <c r="L9" s="270"/>
      <c r="M9" s="270"/>
    </row>
    <row r="10" spans="1:13">
      <c r="A10" s="276" t="s">
        <v>286</v>
      </c>
      <c r="B10" s="278">
        <v>2.72</v>
      </c>
      <c r="C10" s="278">
        <v>2.63</v>
      </c>
      <c r="D10" s="278">
        <v>2.42</v>
      </c>
      <c r="E10" s="278">
        <v>2.3199999999999998</v>
      </c>
      <c r="F10" s="278">
        <v>2.29</v>
      </c>
      <c r="G10" s="278">
        <v>2.2799999999999998</v>
      </c>
      <c r="H10" s="269"/>
      <c r="I10" s="269"/>
      <c r="J10" s="269"/>
      <c r="K10" s="270"/>
      <c r="L10" s="269"/>
      <c r="M10" s="269"/>
    </row>
    <row r="11" spans="1:13">
      <c r="A11" s="276" t="s">
        <v>287</v>
      </c>
      <c r="B11" s="278">
        <v>2.2599999999999998</v>
      </c>
      <c r="C11" s="278">
        <v>2.2599999999999998</v>
      </c>
      <c r="D11" s="278">
        <v>2.2599999999999998</v>
      </c>
      <c r="E11" s="278">
        <v>2.2599999999999998</v>
      </c>
      <c r="F11" s="278">
        <v>2.2599999999999998</v>
      </c>
      <c r="G11" s="278">
        <v>2.2599999999999998</v>
      </c>
      <c r="H11" s="269"/>
      <c r="I11" s="269"/>
      <c r="J11" s="269"/>
      <c r="K11" s="269"/>
      <c r="L11" s="269"/>
      <c r="M11" s="269"/>
    </row>
    <row r="12" spans="1:13">
      <c r="A12" s="276" t="s">
        <v>288</v>
      </c>
      <c r="B12" s="278">
        <v>3.16</v>
      </c>
      <c r="C12" s="278">
        <v>3.12</v>
      </c>
      <c r="D12" s="278">
        <v>2.98</v>
      </c>
      <c r="E12" s="277" t="s">
        <v>284</v>
      </c>
      <c r="F12" s="277" t="s">
        <v>284</v>
      </c>
      <c r="G12" s="277" t="s">
        <v>284</v>
      </c>
      <c r="H12" s="269"/>
      <c r="I12" s="269"/>
      <c r="J12" s="269"/>
      <c r="K12" s="270"/>
      <c r="L12" s="270"/>
      <c r="M12" s="270"/>
    </row>
    <row r="13" spans="1:13">
      <c r="A13" s="276" t="s">
        <v>289</v>
      </c>
      <c r="B13" s="277" t="s">
        <v>284</v>
      </c>
      <c r="C13" s="278">
        <v>2.75</v>
      </c>
      <c r="D13" s="278">
        <v>2.5499999999999998</v>
      </c>
      <c r="E13" s="278">
        <v>2.52</v>
      </c>
      <c r="F13" s="278">
        <v>2.5099999999999998</v>
      </c>
      <c r="G13" s="278">
        <v>2.5</v>
      </c>
      <c r="H13" s="270"/>
      <c r="I13" s="269"/>
      <c r="J13" s="269"/>
      <c r="K13" s="269"/>
      <c r="L13" s="269"/>
      <c r="M13" s="269"/>
    </row>
    <row r="14" spans="1:13">
      <c r="A14" s="276" t="s">
        <v>290</v>
      </c>
      <c r="B14" s="278">
        <v>3.7</v>
      </c>
      <c r="C14" s="278">
        <v>3.5</v>
      </c>
      <c r="D14" s="278">
        <v>3.14</v>
      </c>
      <c r="E14" s="278">
        <v>3</v>
      </c>
      <c r="F14" s="278">
        <v>2.84</v>
      </c>
      <c r="G14" s="278">
        <v>2.73</v>
      </c>
      <c r="H14" s="269"/>
      <c r="I14" s="269"/>
      <c r="J14" s="269"/>
      <c r="K14" s="269"/>
      <c r="L14" s="269"/>
      <c r="M14" s="269"/>
    </row>
    <row r="15" spans="1:13">
      <c r="A15" s="276" t="s">
        <v>291</v>
      </c>
      <c r="B15" s="277" t="s">
        <v>284</v>
      </c>
      <c r="C15" s="278">
        <v>3.5</v>
      </c>
      <c r="D15" s="278">
        <v>3.4</v>
      </c>
      <c r="E15" s="277" t="s">
        <v>284</v>
      </c>
      <c r="F15" s="277" t="s">
        <v>284</v>
      </c>
      <c r="G15" s="277" t="s">
        <v>284</v>
      </c>
      <c r="H15" s="270"/>
      <c r="I15" s="269"/>
      <c r="J15" s="269"/>
      <c r="K15" s="270"/>
      <c r="L15" s="270"/>
      <c r="M15" s="270"/>
    </row>
    <row r="16" spans="1:13">
      <c r="A16" s="276" t="s">
        <v>292</v>
      </c>
      <c r="B16" s="278">
        <v>2.23</v>
      </c>
      <c r="C16" s="278">
        <v>2.23</v>
      </c>
      <c r="D16" s="278">
        <v>2.23</v>
      </c>
      <c r="E16" s="278">
        <v>2.23</v>
      </c>
      <c r="F16" s="278">
        <v>2.23</v>
      </c>
      <c r="G16" s="277" t="s">
        <v>284</v>
      </c>
      <c r="H16" s="269"/>
      <c r="I16" s="269"/>
      <c r="J16" s="269"/>
      <c r="K16" s="269"/>
      <c r="L16" s="269"/>
      <c r="M16" s="270"/>
    </row>
    <row r="17" spans="1:13">
      <c r="A17" s="276" t="s">
        <v>293</v>
      </c>
      <c r="B17" s="277" t="s">
        <v>284</v>
      </c>
      <c r="C17" s="278">
        <v>3.15</v>
      </c>
      <c r="D17" s="278">
        <v>2.9</v>
      </c>
      <c r="E17" s="278">
        <v>2.8</v>
      </c>
      <c r="F17" s="278">
        <v>2.74</v>
      </c>
      <c r="G17" s="277" t="s">
        <v>284</v>
      </c>
      <c r="H17" s="270"/>
      <c r="I17" s="269"/>
      <c r="J17" s="269"/>
      <c r="K17" s="269"/>
      <c r="L17" s="269"/>
      <c r="M17" s="270"/>
    </row>
    <row r="18" spans="1:13">
      <c r="A18" s="276" t="s">
        <v>294</v>
      </c>
      <c r="B18" s="278">
        <v>3.45</v>
      </c>
      <c r="C18" s="278">
        <v>3.12</v>
      </c>
      <c r="D18" s="278">
        <v>2.76</v>
      </c>
      <c r="E18" s="277" t="s">
        <v>284</v>
      </c>
      <c r="F18" s="278">
        <v>2.6</v>
      </c>
      <c r="G18" s="277" t="s">
        <v>284</v>
      </c>
      <c r="H18" s="269"/>
      <c r="I18" s="269"/>
      <c r="J18" s="269"/>
      <c r="K18" s="270"/>
      <c r="L18" s="269"/>
      <c r="M18" s="270"/>
    </row>
    <row r="19" spans="1:13">
      <c r="A19" s="276" t="s">
        <v>295</v>
      </c>
      <c r="B19" s="278">
        <v>2.5499999999999998</v>
      </c>
      <c r="C19" s="278">
        <v>2.5499999999999998</v>
      </c>
      <c r="D19" s="278">
        <v>2.5499999999999998</v>
      </c>
      <c r="E19" s="277" t="s">
        <v>284</v>
      </c>
      <c r="F19" s="278">
        <v>2.5499999999999998</v>
      </c>
      <c r="G19" s="277" t="s">
        <v>284</v>
      </c>
      <c r="H19" s="269"/>
      <c r="I19" s="269"/>
      <c r="J19" s="269"/>
      <c r="K19" s="270"/>
      <c r="L19" s="269"/>
      <c r="M19" s="270"/>
    </row>
    <row r="20" spans="1:13">
      <c r="A20" s="276" t="s">
        <v>296</v>
      </c>
      <c r="B20" s="278">
        <v>2.25</v>
      </c>
      <c r="C20" s="278">
        <v>2.25</v>
      </c>
      <c r="D20" s="278">
        <v>2.5499999999999998</v>
      </c>
      <c r="E20" s="277" t="s">
        <v>284</v>
      </c>
      <c r="F20" s="277" t="s">
        <v>284</v>
      </c>
      <c r="G20" s="277" t="s">
        <v>284</v>
      </c>
      <c r="H20" s="269"/>
      <c r="I20" s="269"/>
      <c r="J20" s="269"/>
      <c r="K20" s="270"/>
      <c r="L20" s="270"/>
      <c r="M20" s="270"/>
    </row>
    <row r="21" spans="1:13">
      <c r="A21" s="276" t="s">
        <v>297</v>
      </c>
      <c r="B21" s="278">
        <v>2.56</v>
      </c>
      <c r="C21" s="278">
        <v>2.56</v>
      </c>
      <c r="D21" s="278">
        <v>2.56</v>
      </c>
      <c r="E21" s="278">
        <v>2.5499999999999998</v>
      </c>
      <c r="F21" s="278">
        <v>2.5499999999999998</v>
      </c>
      <c r="G21" s="278">
        <v>2.54</v>
      </c>
      <c r="H21" s="269"/>
      <c r="I21" s="269"/>
      <c r="J21" s="269"/>
      <c r="K21" s="269"/>
      <c r="L21" s="269"/>
      <c r="M21" s="269"/>
    </row>
    <row r="22" spans="1:13">
      <c r="A22" s="276" t="s">
        <v>298</v>
      </c>
      <c r="B22" s="278">
        <v>2.1</v>
      </c>
      <c r="C22" s="278">
        <v>2.1</v>
      </c>
      <c r="D22" s="278">
        <v>2.1</v>
      </c>
      <c r="E22" s="278">
        <v>2.1</v>
      </c>
      <c r="F22" s="278">
        <v>2.1</v>
      </c>
      <c r="G22" s="278">
        <v>2.08</v>
      </c>
      <c r="H22" s="269"/>
      <c r="I22" s="269"/>
      <c r="J22" s="269"/>
      <c r="K22" s="269"/>
      <c r="L22" s="269"/>
      <c r="M22" s="269"/>
    </row>
    <row r="23" spans="1:13">
      <c r="A23" s="276" t="s">
        <v>299</v>
      </c>
      <c r="B23" s="277" t="s">
        <v>284</v>
      </c>
      <c r="C23" s="278">
        <v>2.25</v>
      </c>
      <c r="D23" s="278">
        <v>2.25</v>
      </c>
      <c r="E23" s="278">
        <v>2.25</v>
      </c>
      <c r="F23" s="278">
        <v>2.25</v>
      </c>
      <c r="G23" s="277" t="s">
        <v>284</v>
      </c>
      <c r="H23" s="270"/>
      <c r="I23" s="269"/>
      <c r="J23" s="269"/>
      <c r="K23" s="269"/>
      <c r="L23" s="269"/>
      <c r="M23" s="270"/>
    </row>
    <row r="24" spans="1:13">
      <c r="A24" s="276" t="s">
        <v>300</v>
      </c>
      <c r="B24" s="278">
        <v>3.2</v>
      </c>
      <c r="C24" s="278">
        <v>3.12</v>
      </c>
      <c r="D24" s="278">
        <v>2.92</v>
      </c>
      <c r="E24" s="278">
        <v>2.8</v>
      </c>
      <c r="F24" s="278">
        <v>2.76</v>
      </c>
      <c r="G24" s="278">
        <v>2.7</v>
      </c>
      <c r="H24" s="269"/>
      <c r="I24" s="269"/>
      <c r="J24" s="269"/>
      <c r="K24" s="269"/>
      <c r="L24" s="269"/>
      <c r="M24" s="269"/>
    </row>
    <row r="25" spans="1:13">
      <c r="A25" s="276" t="s">
        <v>301</v>
      </c>
      <c r="B25" s="278">
        <v>8.4</v>
      </c>
      <c r="C25" s="278">
        <v>8</v>
      </c>
      <c r="D25" s="278">
        <v>6.6</v>
      </c>
      <c r="E25" s="277" t="s">
        <v>284</v>
      </c>
      <c r="F25" s="277" t="s">
        <v>284</v>
      </c>
      <c r="G25" s="277" t="s">
        <v>284</v>
      </c>
      <c r="H25" s="269"/>
      <c r="I25" s="269"/>
      <c r="J25" s="269"/>
      <c r="K25" s="270"/>
      <c r="L25" s="270"/>
      <c r="M25" s="270"/>
    </row>
    <row r="26" spans="1:13">
      <c r="A26" s="276" t="s">
        <v>302</v>
      </c>
      <c r="B26" s="278">
        <v>6.6</v>
      </c>
      <c r="C26" s="278">
        <v>6.2</v>
      </c>
      <c r="D26" s="278">
        <v>5.65</v>
      </c>
      <c r="E26" s="278">
        <v>5.0999999999999996</v>
      </c>
      <c r="F26" s="278">
        <v>4.57</v>
      </c>
      <c r="G26" s="277" t="s">
        <v>284</v>
      </c>
      <c r="H26" s="269"/>
      <c r="I26" s="269"/>
      <c r="J26" s="269"/>
      <c r="K26" s="269"/>
      <c r="L26" s="269"/>
      <c r="M26" s="270"/>
    </row>
    <row r="27" spans="1:13">
      <c r="A27" s="276" t="s">
        <v>303</v>
      </c>
      <c r="B27" s="278" t="s">
        <v>304</v>
      </c>
      <c r="C27" s="278" t="s">
        <v>304</v>
      </c>
      <c r="D27" s="278" t="s">
        <v>305</v>
      </c>
      <c r="E27" s="277" t="s">
        <v>284</v>
      </c>
      <c r="F27" s="277" t="s">
        <v>284</v>
      </c>
      <c r="G27" s="277" t="s">
        <v>284</v>
      </c>
      <c r="H27" s="269"/>
      <c r="I27" s="269"/>
      <c r="J27" s="270"/>
      <c r="K27" s="270"/>
      <c r="L27" s="270"/>
      <c r="M27" s="270"/>
    </row>
    <row r="28" spans="1:13">
      <c r="A28" s="276" t="s">
        <v>306</v>
      </c>
      <c r="B28" s="278">
        <v>5</v>
      </c>
      <c r="C28" s="278">
        <v>4.6500000000000004</v>
      </c>
      <c r="D28" s="278">
        <v>3.18</v>
      </c>
      <c r="E28" s="278">
        <v>2.82</v>
      </c>
      <c r="F28" s="278">
        <v>2.71</v>
      </c>
      <c r="G28" s="277" t="s">
        <v>284</v>
      </c>
      <c r="H28" s="269"/>
      <c r="I28" s="269"/>
      <c r="J28" s="269"/>
      <c r="K28" s="269"/>
      <c r="L28" s="269"/>
      <c r="M28" s="270"/>
    </row>
    <row r="29" spans="1:13">
      <c r="A29" s="276" t="s">
        <v>307</v>
      </c>
      <c r="B29" s="278">
        <v>3.7</v>
      </c>
      <c r="C29" s="278">
        <v>3.68</v>
      </c>
      <c r="D29" s="278">
        <v>3.58</v>
      </c>
      <c r="E29" s="278">
        <v>3.5</v>
      </c>
      <c r="F29" s="278">
        <v>3.44</v>
      </c>
      <c r="G29" s="277" t="s">
        <v>284</v>
      </c>
      <c r="H29" s="269"/>
      <c r="I29" s="269"/>
      <c r="J29" s="269"/>
      <c r="K29" s="269"/>
      <c r="L29" s="269"/>
      <c r="M29" s="270"/>
    </row>
    <row r="30" spans="1:13">
      <c r="A30" s="276" t="s">
        <v>308</v>
      </c>
      <c r="B30" s="278">
        <v>8.6</v>
      </c>
      <c r="C30" s="278">
        <v>7.15</v>
      </c>
      <c r="D30" s="278">
        <v>5.4</v>
      </c>
      <c r="E30" s="278">
        <v>4.4000000000000004</v>
      </c>
      <c r="F30" s="278">
        <v>3.64</v>
      </c>
      <c r="G30" s="277" t="s">
        <v>284</v>
      </c>
      <c r="H30" s="269"/>
      <c r="I30" s="269"/>
      <c r="J30" s="269"/>
      <c r="K30" s="269"/>
      <c r="L30" s="269"/>
      <c r="M30" s="270"/>
    </row>
    <row r="31" spans="1:13">
      <c r="A31" s="279" t="s">
        <v>309</v>
      </c>
      <c r="B31" s="280">
        <v>3.2</v>
      </c>
      <c r="C31" s="280">
        <v>3.1</v>
      </c>
      <c r="D31" s="280">
        <v>2.88</v>
      </c>
      <c r="E31" s="280">
        <v>2.85</v>
      </c>
      <c r="F31" s="280">
        <v>2.84</v>
      </c>
      <c r="G31" s="281" t="s">
        <v>284</v>
      </c>
      <c r="H31" s="269"/>
      <c r="I31" s="269"/>
      <c r="J31" s="269"/>
      <c r="K31" s="269"/>
      <c r="L31" s="269"/>
      <c r="M31" s="270"/>
    </row>
    <row r="32" spans="1:13">
      <c r="A32" s="266"/>
      <c r="B32" s="266"/>
      <c r="C32" s="266"/>
      <c r="D32" s="266"/>
      <c r="E32" s="266"/>
      <c r="F32" s="266"/>
      <c r="G32" s="266"/>
      <c r="H32" s="266"/>
      <c r="I32" s="266"/>
      <c r="J32" s="266"/>
      <c r="K32" s="266"/>
      <c r="L32" s="266"/>
      <c r="M32" s="266"/>
    </row>
    <row r="33" spans="1:13" ht="15.75">
      <c r="A33" s="206" t="s">
        <v>213</v>
      </c>
      <c r="B33" s="168"/>
      <c r="C33" s="169"/>
      <c r="D33" s="170"/>
      <c r="E33" s="171"/>
      <c r="F33" s="172"/>
      <c r="G33" s="173"/>
      <c r="H33" s="174"/>
      <c r="I33" s="175"/>
      <c r="J33" s="176"/>
      <c r="K33" s="66"/>
      <c r="L33" s="51"/>
      <c r="M33" s="51"/>
    </row>
    <row r="34" spans="1:13">
      <c r="A34" s="227" t="s">
        <v>318</v>
      </c>
      <c r="B34" s="227"/>
      <c r="C34" s="227"/>
      <c r="D34" s="227"/>
      <c r="E34" s="227"/>
      <c r="F34" s="227"/>
      <c r="G34" s="227"/>
      <c r="H34" s="289"/>
      <c r="I34" s="289"/>
      <c r="J34" s="289"/>
      <c r="K34" s="289"/>
      <c r="L34" s="182"/>
      <c r="M34" s="182"/>
    </row>
    <row r="35" spans="1:13" ht="15.75">
      <c r="A35" s="30"/>
      <c r="B35" s="30"/>
      <c r="C35" s="30"/>
      <c r="D35" s="77"/>
      <c r="E35" s="77"/>
      <c r="F35" s="72"/>
      <c r="G35" s="77"/>
      <c r="H35" s="77"/>
      <c r="I35" s="77"/>
      <c r="J35" s="77"/>
      <c r="K35" s="51"/>
      <c r="L35" s="51"/>
      <c r="M35" s="51"/>
    </row>
    <row r="36" spans="1:13" ht="21" customHeight="1">
      <c r="A36" s="220" t="s">
        <v>37</v>
      </c>
      <c r="B36" s="220"/>
      <c r="C36" s="220"/>
      <c r="D36" s="220"/>
      <c r="E36" s="220"/>
      <c r="F36" s="220"/>
      <c r="G36" s="220"/>
      <c r="H36" s="115"/>
      <c r="I36" s="115"/>
      <c r="J36" s="115"/>
      <c r="K36" s="115"/>
      <c r="L36" s="115"/>
      <c r="M36" s="115"/>
    </row>
  </sheetData>
  <sheetProtection sheet="1" objects="1" scenarios="1"/>
  <mergeCells count="5">
    <mergeCell ref="A36:G36"/>
    <mergeCell ref="A34:G34"/>
    <mergeCell ref="A7:A8"/>
    <mergeCell ref="B7:G7"/>
    <mergeCell ref="H7:M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6F541-83D1-42FF-ACF0-A6C922CB46E4}">
  <sheetPr>
    <pageSetUpPr fitToPage="1"/>
  </sheetPr>
  <dimension ref="A1:BA153"/>
  <sheetViews>
    <sheetView tabSelected="1" zoomScaleNormal="100" workbookViewId="0">
      <selection activeCell="J34" sqref="J34"/>
    </sheetView>
  </sheetViews>
  <sheetFormatPr defaultColWidth="11.42578125" defaultRowHeight="13.5"/>
  <cols>
    <col min="1" max="5" width="10.7109375" style="10" customWidth="1"/>
    <col min="6" max="6" width="10.7109375" style="1" customWidth="1"/>
    <col min="7" max="13" width="10.7109375" style="10" customWidth="1"/>
    <col min="14" max="53" width="11.42578125" style="287"/>
    <col min="54" max="16384" width="11.42578125" style="10"/>
  </cols>
  <sheetData>
    <row r="1" spans="1:53">
      <c r="A1" s="53" t="s">
        <v>212</v>
      </c>
      <c r="B1" s="54"/>
      <c r="C1" s="54"/>
      <c r="D1" s="54"/>
      <c r="E1" s="54"/>
      <c r="F1" s="54"/>
      <c r="G1" s="54"/>
      <c r="H1" s="54"/>
      <c r="I1" s="51"/>
      <c r="J1" s="51"/>
      <c r="K1" s="51"/>
      <c r="L1" s="51"/>
      <c r="M1" s="51"/>
      <c r="N1" s="288"/>
      <c r="O1" s="288"/>
    </row>
    <row r="2" spans="1:53">
      <c r="A2" s="54"/>
      <c r="B2" s="54"/>
      <c r="C2" s="54"/>
      <c r="D2" s="54"/>
      <c r="E2" s="54"/>
      <c r="F2" s="54"/>
      <c r="G2" s="54"/>
      <c r="H2" s="54"/>
      <c r="I2" s="51"/>
      <c r="J2" s="51"/>
      <c r="K2" s="51"/>
      <c r="L2" s="51"/>
      <c r="M2" s="51"/>
      <c r="N2" s="288"/>
      <c r="O2" s="288"/>
    </row>
    <row r="3" spans="1:53">
      <c r="A3" s="54" t="s">
        <v>1</v>
      </c>
      <c r="B3" s="59" t="s">
        <v>2</v>
      </c>
      <c r="C3" s="54"/>
      <c r="D3" s="54"/>
      <c r="E3" s="54"/>
      <c r="F3" s="51"/>
      <c r="G3" s="51"/>
      <c r="H3" s="51"/>
      <c r="I3" s="51"/>
      <c r="J3" s="51"/>
      <c r="K3" s="51"/>
      <c r="L3" s="51"/>
      <c r="M3" s="51"/>
      <c r="N3" s="288"/>
      <c r="O3" s="288"/>
    </row>
    <row r="4" spans="1:53">
      <c r="A4" s="54" t="s">
        <v>3</v>
      </c>
      <c r="B4" s="54" t="s">
        <v>4</v>
      </c>
      <c r="C4" s="54"/>
      <c r="D4" s="54"/>
      <c r="E4" s="54"/>
      <c r="F4" s="51"/>
      <c r="G4" s="51"/>
      <c r="H4" s="51"/>
      <c r="I4" s="51"/>
      <c r="J4" s="51"/>
      <c r="K4" s="51"/>
      <c r="L4" s="51"/>
      <c r="M4" s="51"/>
      <c r="N4" s="288"/>
      <c r="O4" s="288"/>
    </row>
    <row r="5" spans="1:53">
      <c r="A5" s="54" t="s">
        <v>5</v>
      </c>
      <c r="B5" s="54" t="s">
        <v>231</v>
      </c>
      <c r="C5" s="54"/>
      <c r="D5" s="54"/>
      <c r="E5" s="54"/>
      <c r="F5" s="51"/>
      <c r="G5" s="51"/>
      <c r="H5" s="51"/>
      <c r="I5" s="51"/>
      <c r="J5" s="51"/>
      <c r="K5" s="51"/>
      <c r="L5" s="51"/>
      <c r="M5" s="51"/>
      <c r="N5" s="288"/>
      <c r="O5" s="288"/>
    </row>
    <row r="6" spans="1:53">
      <c r="A6" s="54"/>
      <c r="B6" s="54"/>
      <c r="C6" s="54"/>
      <c r="D6" s="54"/>
      <c r="E6" s="54"/>
      <c r="F6" s="51"/>
      <c r="G6" s="51"/>
      <c r="H6" s="51"/>
      <c r="I6" s="51"/>
      <c r="J6" s="51"/>
      <c r="K6" s="51"/>
      <c r="L6" s="51"/>
      <c r="M6" s="51"/>
      <c r="N6" s="288"/>
      <c r="O6" s="288"/>
    </row>
    <row r="7" spans="1:53" s="1" customFormat="1">
      <c r="A7" s="1" t="s">
        <v>232</v>
      </c>
      <c r="B7" s="54"/>
      <c r="C7" s="54"/>
      <c r="D7" s="54"/>
      <c r="E7" s="54"/>
      <c r="F7" s="54"/>
      <c r="G7" s="54"/>
      <c r="H7" s="54"/>
      <c r="I7" s="54"/>
      <c r="J7" s="54"/>
      <c r="K7" s="66"/>
      <c r="L7" s="66"/>
      <c r="M7" s="66"/>
      <c r="N7" s="91"/>
      <c r="O7" s="191"/>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row>
    <row r="8" spans="1:53">
      <c r="A8" s="1" t="s">
        <v>233</v>
      </c>
      <c r="B8" s="51"/>
      <c r="C8" s="51"/>
      <c r="D8" s="51"/>
      <c r="E8" s="51"/>
      <c r="F8" s="54"/>
      <c r="G8" s="51"/>
      <c r="H8" s="51"/>
      <c r="I8" s="51"/>
      <c r="J8" s="51"/>
      <c r="K8" s="51"/>
      <c r="L8" s="66"/>
      <c r="M8" s="66"/>
      <c r="N8" s="91"/>
      <c r="O8" s="288"/>
    </row>
    <row r="9" spans="1:53">
      <c r="A9" s="54" t="s">
        <v>235</v>
      </c>
      <c r="B9" s="51"/>
      <c r="C9" s="51"/>
      <c r="D9" s="51"/>
      <c r="E9" s="51"/>
      <c r="F9" s="54"/>
      <c r="G9" s="51"/>
      <c r="H9" s="51"/>
      <c r="I9" s="51"/>
      <c r="J9" s="51"/>
      <c r="K9" s="51"/>
      <c r="L9" s="66"/>
      <c r="M9" s="66"/>
      <c r="N9" s="91"/>
      <c r="O9" s="288"/>
    </row>
    <row r="10" spans="1:53">
      <c r="A10" s="54"/>
      <c r="B10" s="51"/>
      <c r="C10" s="51"/>
      <c r="D10" s="51"/>
      <c r="E10" s="51"/>
      <c r="F10" s="54"/>
      <c r="G10" s="51"/>
      <c r="H10" s="51"/>
      <c r="I10" s="51"/>
      <c r="J10" s="51"/>
      <c r="K10" s="51"/>
      <c r="L10" s="66"/>
      <c r="M10" s="66"/>
      <c r="N10" s="91"/>
      <c r="O10" s="288"/>
    </row>
    <row r="11" spans="1:53">
      <c r="A11" s="57"/>
      <c r="B11" s="57"/>
      <c r="C11" s="57"/>
      <c r="D11" s="57"/>
      <c r="E11" s="57"/>
      <c r="F11" s="67"/>
      <c r="G11" s="57"/>
      <c r="H11" s="57"/>
      <c r="I11" s="57"/>
      <c r="J11" s="57"/>
      <c r="K11" s="68"/>
      <c r="L11" s="68"/>
      <c r="M11" s="68"/>
      <c r="N11" s="91"/>
      <c r="O11" s="288"/>
    </row>
    <row r="12" spans="1:53">
      <c r="A12" s="198" t="s">
        <v>234</v>
      </c>
      <c r="B12" s="118"/>
      <c r="C12" s="118"/>
      <c r="D12" s="118"/>
      <c r="E12" s="118"/>
      <c r="F12" s="183"/>
      <c r="G12" s="118"/>
      <c r="H12" s="118"/>
      <c r="I12" s="118"/>
      <c r="J12" s="118"/>
      <c r="K12" s="118"/>
      <c r="L12" s="118"/>
      <c r="M12" s="118"/>
      <c r="O12" s="288"/>
    </row>
    <row r="13" spans="1:53">
      <c r="N13" s="288"/>
      <c r="O13" s="288"/>
    </row>
    <row r="14" spans="1:53" s="21" customFormat="1">
      <c r="A14" s="10"/>
      <c r="B14" s="10"/>
      <c r="C14" s="10"/>
      <c r="D14" s="10"/>
      <c r="E14" s="10"/>
      <c r="F14" s="1"/>
      <c r="G14" s="10"/>
      <c r="H14" s="10"/>
      <c r="I14" s="10"/>
      <c r="J14" s="10"/>
      <c r="K14" s="10"/>
      <c r="L14" s="10"/>
      <c r="M14" s="10"/>
      <c r="N14" s="288"/>
      <c r="O14" s="290"/>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row>
    <row r="15" spans="1:53" ht="12">
      <c r="A15" s="21"/>
      <c r="B15" s="21"/>
      <c r="C15" s="21"/>
      <c r="D15" s="21"/>
      <c r="E15" s="21"/>
      <c r="F15" s="21"/>
      <c r="G15" s="21"/>
      <c r="H15" s="21"/>
      <c r="I15" s="21"/>
      <c r="J15" s="21"/>
      <c r="K15" s="21"/>
      <c r="L15" s="21"/>
      <c r="M15" s="21"/>
      <c r="N15" s="290"/>
      <c r="O15" s="288"/>
    </row>
    <row r="16" spans="1:53">
      <c r="N16" s="288"/>
      <c r="O16" s="288"/>
    </row>
    <row r="17" spans="1:53">
      <c r="C17" s="30"/>
      <c r="N17" s="288"/>
      <c r="O17" s="288"/>
    </row>
    <row r="18" spans="1:53">
      <c r="N18" s="288"/>
      <c r="O18" s="288"/>
    </row>
    <row r="19" spans="1:53">
      <c r="N19" s="288"/>
      <c r="O19" s="288"/>
    </row>
    <row r="20" spans="1:53">
      <c r="N20" s="288"/>
      <c r="O20" s="288"/>
    </row>
    <row r="21" spans="1:53">
      <c r="N21" s="288"/>
      <c r="O21" s="288"/>
    </row>
    <row r="22" spans="1:53">
      <c r="N22" s="288"/>
      <c r="O22" s="288"/>
    </row>
    <row r="23" spans="1:53">
      <c r="N23" s="288"/>
      <c r="O23" s="288"/>
    </row>
    <row r="24" spans="1:53" s="1" customFormat="1">
      <c r="A24" s="184" t="s">
        <v>30</v>
      </c>
      <c r="B24" s="184"/>
      <c r="C24" s="79" t="s">
        <v>31</v>
      </c>
      <c r="D24" s="79" t="s">
        <v>11</v>
      </c>
      <c r="E24" s="80" t="s">
        <v>32</v>
      </c>
      <c r="F24" s="68"/>
      <c r="G24" s="68"/>
      <c r="H24" s="185"/>
      <c r="I24" s="57"/>
      <c r="J24" s="57"/>
      <c r="K24" s="57"/>
      <c r="L24" s="57"/>
      <c r="M24" s="57"/>
      <c r="N24" s="288"/>
      <c r="O24" s="191"/>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row>
    <row r="25" spans="1:53" s="1" customFormat="1">
      <c r="A25" s="52" t="s">
        <v>101</v>
      </c>
      <c r="B25" s="54"/>
      <c r="C25" s="283" t="s">
        <v>256</v>
      </c>
      <c r="D25" s="210" t="s">
        <v>103</v>
      </c>
      <c r="E25" s="49" t="s">
        <v>246</v>
      </c>
      <c r="F25" s="54"/>
      <c r="G25" s="54"/>
      <c r="H25" s="54"/>
      <c r="I25" s="72"/>
      <c r="J25" s="54"/>
      <c r="K25" s="54"/>
      <c r="L25" s="54"/>
      <c r="M25" s="54"/>
      <c r="N25" s="191"/>
      <c r="O25" s="191"/>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row>
    <row r="26" spans="1:53" s="187" customFormat="1">
      <c r="A26" s="76" t="s">
        <v>240</v>
      </c>
      <c r="B26" s="72"/>
      <c r="C26" s="284" t="s">
        <v>244</v>
      </c>
      <c r="D26" s="211" t="s">
        <v>238</v>
      </c>
      <c r="E26" s="52" t="s">
        <v>253</v>
      </c>
      <c r="F26" s="72"/>
      <c r="G26" s="72"/>
      <c r="H26" s="72"/>
      <c r="I26" s="72"/>
      <c r="J26" s="72"/>
      <c r="K26" s="54"/>
      <c r="L26" s="74"/>
      <c r="M26" s="74"/>
      <c r="N26" s="191"/>
      <c r="O26" s="197"/>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row>
    <row r="27" spans="1:53">
      <c r="A27" s="110" t="s">
        <v>241</v>
      </c>
      <c r="B27" s="67"/>
      <c r="C27" s="285" t="s">
        <v>255</v>
      </c>
      <c r="D27" s="212" t="s">
        <v>238</v>
      </c>
      <c r="E27" s="188" t="s">
        <v>254</v>
      </c>
      <c r="F27" s="67"/>
      <c r="G27" s="67"/>
      <c r="H27" s="67"/>
      <c r="I27" s="67"/>
      <c r="J27" s="67"/>
      <c r="K27" s="67"/>
      <c r="L27" s="67"/>
      <c r="M27" s="67"/>
      <c r="N27" s="197"/>
      <c r="O27" s="288"/>
    </row>
    <row r="28" spans="1:53">
      <c r="A28" s="184" t="s">
        <v>242</v>
      </c>
      <c r="B28" s="184"/>
      <c r="C28" s="79" t="s">
        <v>31</v>
      </c>
      <c r="D28" s="79" t="s">
        <v>11</v>
      </c>
      <c r="E28" s="80" t="s">
        <v>32</v>
      </c>
      <c r="F28" s="68"/>
      <c r="G28" s="68"/>
      <c r="H28" s="185"/>
      <c r="I28" s="57"/>
      <c r="J28" s="57"/>
      <c r="K28" s="57"/>
      <c r="L28" s="57"/>
      <c r="M28" s="57"/>
      <c r="N28" s="288"/>
      <c r="O28" s="288"/>
    </row>
    <row r="29" spans="1:53" ht="12" customHeight="1">
      <c r="A29" s="76" t="s">
        <v>243</v>
      </c>
      <c r="B29" s="155"/>
      <c r="C29" s="204">
        <f>IF((C26/C27)&lt;1,(C25+1)/2+(C25-1)/2*(1/SQRT(1+12*C27/C26)+0.04*(1-C26/C27)^2),(C25+1)/2+(C25-1)/(2*SQRT(1+12*C27/C26)))</f>
        <v>2.9359999999999999</v>
      </c>
      <c r="D29" s="196" t="s">
        <v>103</v>
      </c>
      <c r="E29" s="202" t="s">
        <v>258</v>
      </c>
      <c r="F29" s="203"/>
      <c r="G29" s="203"/>
      <c r="H29" s="200"/>
      <c r="I29" s="200"/>
      <c r="J29" s="200"/>
      <c r="K29" s="201"/>
      <c r="L29" s="201"/>
      <c r="M29" s="201"/>
      <c r="N29" s="288"/>
      <c r="O29" s="191"/>
    </row>
    <row r="30" spans="1:53" ht="12" customHeight="1">
      <c r="A30" s="76"/>
      <c r="B30" s="155"/>
      <c r="C30" s="257"/>
      <c r="D30" s="203"/>
      <c r="E30" s="203"/>
      <c r="F30" s="203"/>
      <c r="G30" s="203"/>
      <c r="H30" s="200"/>
      <c r="I30" s="200"/>
      <c r="J30" s="200"/>
      <c r="K30" s="201"/>
      <c r="L30" s="201"/>
      <c r="M30" s="201"/>
      <c r="N30" s="288"/>
      <c r="O30" s="191"/>
    </row>
    <row r="31" spans="1:53">
      <c r="A31" s="258"/>
      <c r="B31" s="259"/>
      <c r="C31" s="259"/>
      <c r="D31" s="259"/>
      <c r="E31" s="259"/>
      <c r="F31" s="259"/>
      <c r="G31" s="259"/>
      <c r="H31" s="260"/>
      <c r="I31" s="260"/>
      <c r="J31" s="260"/>
      <c r="K31" s="67"/>
      <c r="L31" s="67"/>
      <c r="M31" s="67"/>
      <c r="N31" s="191"/>
      <c r="O31" s="191"/>
    </row>
    <row r="32" spans="1:53">
      <c r="A32" s="198" t="s">
        <v>249</v>
      </c>
      <c r="B32" s="183"/>
      <c r="C32" s="56"/>
      <c r="D32" s="183"/>
      <c r="E32" s="183"/>
      <c r="F32" s="183"/>
      <c r="G32" s="183"/>
      <c r="H32" s="183"/>
      <c r="I32" s="183"/>
      <c r="J32" s="183"/>
      <c r="K32" s="183"/>
      <c r="L32" s="183"/>
      <c r="M32" s="183"/>
      <c r="N32" s="191"/>
      <c r="O32" s="191"/>
    </row>
    <row r="33" spans="1:53">
      <c r="C33" s="51"/>
      <c r="N33" s="191"/>
      <c r="O33" s="191"/>
    </row>
    <row r="34" spans="1:53">
      <c r="C34" s="51"/>
      <c r="N34" s="191"/>
      <c r="O34" s="191"/>
    </row>
    <row r="35" spans="1:53">
      <c r="A35" s="189"/>
      <c r="B35" s="191"/>
      <c r="C35" s="190"/>
      <c r="D35" s="190"/>
      <c r="E35" s="192"/>
      <c r="F35" s="192"/>
      <c r="G35" s="192"/>
      <c r="H35" s="193"/>
      <c r="I35" s="197"/>
      <c r="J35" s="197"/>
      <c r="K35" s="191"/>
      <c r="L35" s="197"/>
      <c r="M35" s="199"/>
      <c r="N35" s="191"/>
      <c r="O35" s="191"/>
    </row>
    <row r="36" spans="1:53">
      <c r="A36" s="191"/>
      <c r="B36" s="191"/>
      <c r="C36" s="292"/>
      <c r="D36" s="170"/>
      <c r="E36" s="194"/>
      <c r="F36" s="90"/>
      <c r="G36" s="195"/>
      <c r="H36" s="170"/>
      <c r="I36" s="178"/>
      <c r="J36" s="191"/>
      <c r="K36" s="191"/>
      <c r="L36" s="191"/>
      <c r="M36" s="199"/>
      <c r="N36" s="191"/>
      <c r="O36" s="191"/>
    </row>
    <row r="37" spans="1:53">
      <c r="A37" s="191"/>
      <c r="B37" s="191"/>
      <c r="C37" s="191"/>
      <c r="D37" s="191"/>
      <c r="E37" s="191"/>
      <c r="F37" s="191"/>
      <c r="G37" s="191"/>
      <c r="H37" s="191"/>
      <c r="I37" s="191"/>
      <c r="J37" s="191"/>
      <c r="K37" s="191"/>
      <c r="L37" s="191"/>
      <c r="M37" s="191"/>
      <c r="N37" s="191"/>
      <c r="O37" s="191"/>
    </row>
    <row r="38" spans="1:53">
      <c r="C38" s="51"/>
    </row>
    <row r="39" spans="1:53" ht="15.75" customHeight="1">
      <c r="C39" s="51"/>
      <c r="X39" s="288"/>
      <c r="Y39" s="288"/>
      <c r="Z39" s="288"/>
    </row>
    <row r="40" spans="1:53">
      <c r="A40" s="60" t="s">
        <v>30</v>
      </c>
      <c r="B40" s="60"/>
      <c r="C40" s="70" t="s">
        <v>31</v>
      </c>
      <c r="D40" s="70" t="s">
        <v>11</v>
      </c>
      <c r="E40" s="61" t="s">
        <v>32</v>
      </c>
      <c r="F40" s="64"/>
      <c r="G40" s="64"/>
      <c r="H40" s="119"/>
      <c r="I40" s="55"/>
      <c r="J40" s="55"/>
      <c r="K40" s="55"/>
      <c r="L40" s="55"/>
      <c r="M40" s="55"/>
      <c r="X40" s="199"/>
      <c r="Y40" s="238"/>
      <c r="Z40" s="239"/>
    </row>
    <row r="41" spans="1:53">
      <c r="A41" s="52" t="s">
        <v>101</v>
      </c>
      <c r="B41" s="54"/>
      <c r="C41" s="284" t="s">
        <v>256</v>
      </c>
      <c r="D41" s="78" t="s">
        <v>103</v>
      </c>
      <c r="E41" s="52" t="s">
        <v>246</v>
      </c>
      <c r="F41" s="54"/>
      <c r="G41" s="54"/>
      <c r="H41" s="54"/>
      <c r="I41" s="72"/>
      <c r="J41" s="54"/>
      <c r="X41" s="199"/>
      <c r="Y41" s="238"/>
      <c r="Z41" s="239"/>
    </row>
    <row r="42" spans="1:53">
      <c r="A42" s="76" t="s">
        <v>240</v>
      </c>
      <c r="B42" s="72"/>
      <c r="C42" s="284" t="s">
        <v>244</v>
      </c>
      <c r="D42" s="78" t="s">
        <v>238</v>
      </c>
      <c r="E42" s="52" t="s">
        <v>252</v>
      </c>
      <c r="F42" s="54"/>
      <c r="G42" s="54"/>
      <c r="H42" s="54"/>
      <c r="I42" s="72"/>
      <c r="J42" s="54"/>
      <c r="X42" s="199"/>
      <c r="Y42" s="238"/>
      <c r="Z42" s="239"/>
    </row>
    <row r="43" spans="1:53" s="1" customFormat="1">
      <c r="A43" s="1" t="s">
        <v>250</v>
      </c>
      <c r="C43" s="284" t="s">
        <v>271</v>
      </c>
      <c r="D43" s="213" t="s">
        <v>238</v>
      </c>
      <c r="E43" s="52" t="s">
        <v>251</v>
      </c>
      <c r="F43" s="54"/>
      <c r="G43" s="54"/>
      <c r="H43" s="54"/>
      <c r="I43" s="72"/>
      <c r="J43" s="54"/>
      <c r="N43" s="199"/>
      <c r="O43" s="199"/>
      <c r="P43" s="199"/>
      <c r="Q43" s="199"/>
      <c r="R43" s="199"/>
      <c r="S43" s="199"/>
      <c r="T43" s="199"/>
      <c r="U43" s="199"/>
      <c r="V43" s="199"/>
      <c r="W43" s="199"/>
      <c r="X43" s="199"/>
      <c r="Y43" s="238"/>
      <c r="Z43" s="23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row>
    <row r="44" spans="1:53">
      <c r="A44" s="110" t="s">
        <v>241</v>
      </c>
      <c r="B44" s="67"/>
      <c r="C44" s="285" t="s">
        <v>272</v>
      </c>
      <c r="D44" s="188" t="s">
        <v>238</v>
      </c>
      <c r="E44" s="188" t="s">
        <v>239</v>
      </c>
      <c r="F44" s="186"/>
      <c r="G44" s="186"/>
      <c r="H44" s="31"/>
      <c r="I44" s="31"/>
      <c r="J44" s="31"/>
      <c r="K44" s="30"/>
      <c r="L44" s="30"/>
      <c r="M44" s="30"/>
      <c r="X44" s="199"/>
      <c r="Y44" s="238"/>
      <c r="Z44" s="239"/>
    </row>
    <row r="45" spans="1:53" s="30" customFormat="1" hidden="1">
      <c r="A45" s="184" t="s">
        <v>270</v>
      </c>
      <c r="B45" s="184"/>
      <c r="C45" s="79" t="s">
        <v>31</v>
      </c>
      <c r="D45" s="79" t="s">
        <v>11</v>
      </c>
      <c r="E45" s="263" t="s">
        <v>265</v>
      </c>
      <c r="F45" s="262" t="s">
        <v>266</v>
      </c>
      <c r="G45" s="262" t="s">
        <v>267</v>
      </c>
      <c r="H45" s="264" t="s">
        <v>268</v>
      </c>
      <c r="I45" s="264" t="s">
        <v>269</v>
      </c>
      <c r="J45" s="264"/>
      <c r="K45" s="265"/>
      <c r="L45" s="265"/>
      <c r="M45" s="265"/>
      <c r="N45" s="287"/>
      <c r="O45" s="287"/>
      <c r="P45" s="287"/>
      <c r="Q45" s="287"/>
      <c r="R45" s="287"/>
      <c r="S45" s="287"/>
      <c r="T45" s="287"/>
      <c r="U45" s="287"/>
      <c r="V45" s="287"/>
      <c r="W45" s="287"/>
      <c r="X45" s="199"/>
      <c r="Y45" s="238"/>
      <c r="Z45" s="239"/>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row>
    <row r="46" spans="1:53" s="30" customFormat="1" hidden="1">
      <c r="A46" s="1"/>
      <c r="B46" s="216" t="s">
        <v>261</v>
      </c>
      <c r="C46" s="215">
        <f>C42/(2*C43+C42)</f>
        <v>0.16666666666666669</v>
      </c>
      <c r="D46" s="78" t="s">
        <v>103</v>
      </c>
      <c r="E46" s="191">
        <v>0</v>
      </c>
      <c r="F46" s="199">
        <v>1</v>
      </c>
      <c r="G46" s="199">
        <f>SQRT(1-C46*C46)</f>
        <v>0.98601329718326935</v>
      </c>
      <c r="H46" s="195">
        <f>C46</f>
        <v>0.16666666666666669</v>
      </c>
      <c r="I46" s="199">
        <f>PI()/(2*F46)</f>
        <v>1.5707963267948966</v>
      </c>
      <c r="J46" s="199"/>
      <c r="K46" s="10"/>
      <c r="L46" s="10"/>
      <c r="M46" s="10"/>
      <c r="N46" s="287"/>
      <c r="O46" s="287"/>
      <c r="P46" s="287"/>
      <c r="Q46" s="287"/>
      <c r="R46" s="287"/>
      <c r="S46" s="287"/>
      <c r="T46" s="287"/>
      <c r="U46" s="287"/>
      <c r="V46" s="287"/>
      <c r="W46" s="287"/>
      <c r="X46" s="199"/>
      <c r="Y46" s="238"/>
      <c r="Z46" s="239"/>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row>
    <row r="47" spans="1:53" s="30" customFormat="1" hidden="1">
      <c r="A47" s="10"/>
      <c r="B47" s="10"/>
      <c r="C47" s="10"/>
      <c r="D47" s="10"/>
      <c r="E47" s="191">
        <v>1</v>
      </c>
      <c r="F47" s="199">
        <f>(F46+G46)/2</f>
        <v>0.99300664859163468</v>
      </c>
      <c r="G47" s="199">
        <f>SQRT(F46*G46)</f>
        <v>0.99298202258815815</v>
      </c>
      <c r="H47" s="199">
        <f>(F46-G46)/2</f>
        <v>6.9933514083653225E-3</v>
      </c>
      <c r="I47" s="199">
        <f>PI()/(2*F47)</f>
        <v>1.5818588214114495</v>
      </c>
      <c r="J47" s="199"/>
      <c r="K47" s="10"/>
      <c r="L47" s="10"/>
      <c r="M47" s="10"/>
      <c r="N47" s="287"/>
      <c r="O47" s="287"/>
      <c r="P47" s="287"/>
      <c r="Q47" s="287"/>
      <c r="R47" s="287"/>
      <c r="S47" s="287"/>
      <c r="T47" s="287"/>
      <c r="U47" s="287"/>
      <c r="V47" s="287"/>
      <c r="W47" s="287"/>
      <c r="X47" s="199"/>
      <c r="Y47" s="238"/>
      <c r="Z47" s="239"/>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row>
    <row r="48" spans="1:53" s="30" customFormat="1" hidden="1">
      <c r="A48" s="10"/>
      <c r="B48" s="10"/>
      <c r="C48" s="10"/>
      <c r="D48" s="10"/>
      <c r="E48" s="191">
        <v>2</v>
      </c>
      <c r="F48" s="199">
        <f t="shared" ref="F48:F51" si="0">(F47+G47)/2</f>
        <v>0.99299433558989647</v>
      </c>
      <c r="G48" s="199">
        <f t="shared" ref="G48:G51" si="1">SQRT(F47*G47)</f>
        <v>0.99299433551355665</v>
      </c>
      <c r="H48" s="199">
        <f t="shared" ref="H48:H51" si="2">(F47-G47)/2</f>
        <v>1.2313001738262219E-5</v>
      </c>
      <c r="I48" s="199">
        <f t="shared" ref="I48:I51" si="3">PI()/(2*F48)</f>
        <v>1.5818784362568916</v>
      </c>
      <c r="J48" s="199"/>
      <c r="K48" s="10"/>
      <c r="L48" s="10"/>
      <c r="M48" s="10"/>
      <c r="N48" s="287"/>
      <c r="O48" s="287"/>
      <c r="P48" s="287"/>
      <c r="Q48" s="287"/>
      <c r="R48" s="287"/>
      <c r="S48" s="287"/>
      <c r="T48" s="287"/>
      <c r="U48" s="287"/>
      <c r="V48" s="287"/>
      <c r="W48" s="287"/>
      <c r="X48" s="199"/>
      <c r="Y48" s="238"/>
      <c r="Z48" s="239"/>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row>
    <row r="49" spans="1:53" s="30" customFormat="1" hidden="1">
      <c r="A49" s="10"/>
      <c r="B49" s="10"/>
      <c r="C49" s="10"/>
      <c r="D49" s="10"/>
      <c r="E49" s="191">
        <v>3</v>
      </c>
      <c r="F49" s="199">
        <f t="shared" si="0"/>
        <v>0.99299433555172656</v>
      </c>
      <c r="G49" s="199">
        <f t="shared" si="1"/>
        <v>0.99299433555172656</v>
      </c>
      <c r="H49" s="199">
        <f t="shared" si="2"/>
        <v>3.8169911675822732E-11</v>
      </c>
      <c r="I49" s="199">
        <f t="shared" si="3"/>
        <v>1.5818784363176979</v>
      </c>
      <c r="J49" s="199"/>
      <c r="K49" s="10"/>
      <c r="L49" s="10"/>
      <c r="M49" s="10"/>
      <c r="N49" s="287"/>
      <c r="O49" s="287"/>
      <c r="P49" s="287"/>
      <c r="Q49" s="287"/>
      <c r="R49" s="287"/>
      <c r="S49" s="287"/>
      <c r="T49" s="287"/>
      <c r="U49" s="287"/>
      <c r="V49" s="287"/>
      <c r="W49" s="287"/>
      <c r="X49" s="199"/>
      <c r="Y49" s="238"/>
      <c r="Z49" s="239"/>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row>
    <row r="50" spans="1:53" s="30" customFormat="1" hidden="1">
      <c r="A50" s="170"/>
      <c r="B50" s="191"/>
      <c r="C50" s="237"/>
      <c r="D50" s="191"/>
      <c r="E50" s="191">
        <v>4</v>
      </c>
      <c r="F50" s="199">
        <f t="shared" si="0"/>
        <v>0.99299433555172656</v>
      </c>
      <c r="G50" s="199">
        <f t="shared" si="1"/>
        <v>0.99299433555172656</v>
      </c>
      <c r="H50" s="199">
        <f t="shared" si="2"/>
        <v>0</v>
      </c>
      <c r="I50" s="199">
        <f t="shared" si="3"/>
        <v>1.5818784363176979</v>
      </c>
      <c r="J50" s="199"/>
      <c r="K50" s="10"/>
      <c r="L50" s="10"/>
      <c r="M50" s="10"/>
      <c r="N50" s="287"/>
      <c r="O50" s="287"/>
      <c r="P50" s="287"/>
      <c r="Q50" s="287"/>
      <c r="R50" s="287"/>
      <c r="S50" s="287"/>
      <c r="T50" s="287"/>
      <c r="U50" s="287"/>
      <c r="V50" s="287"/>
      <c r="W50" s="287"/>
      <c r="X50" s="199"/>
      <c r="Y50" s="238"/>
      <c r="Z50" s="239"/>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row>
    <row r="51" spans="1:53" s="30" customFormat="1" hidden="1">
      <c r="A51" s="54"/>
      <c r="B51" s="54"/>
      <c r="C51" s="10"/>
      <c r="D51" s="10"/>
      <c r="E51" s="10">
        <v>5</v>
      </c>
      <c r="F51" s="199">
        <f t="shared" si="0"/>
        <v>0.99299433555172656</v>
      </c>
      <c r="G51" s="199">
        <f t="shared" si="1"/>
        <v>0.99299433555172656</v>
      </c>
      <c r="H51" s="199">
        <f t="shared" si="2"/>
        <v>0</v>
      </c>
      <c r="I51" s="199">
        <f t="shared" si="3"/>
        <v>1.5818784363176979</v>
      </c>
      <c r="J51" s="10"/>
      <c r="K51" s="10"/>
      <c r="L51" s="10"/>
      <c r="M51" s="10"/>
      <c r="N51" s="287"/>
      <c r="O51" s="287"/>
      <c r="P51" s="287"/>
      <c r="Q51" s="287"/>
      <c r="R51" s="287"/>
      <c r="S51" s="287"/>
      <c r="T51" s="287"/>
      <c r="U51" s="287"/>
      <c r="V51" s="287"/>
      <c r="W51" s="287"/>
      <c r="X51" s="199"/>
      <c r="Y51" s="238"/>
      <c r="Z51" s="239"/>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row>
    <row r="52" spans="1:53" s="30" customFormat="1" hidden="1">
      <c r="E52" s="191">
        <v>6</v>
      </c>
      <c r="F52" s="199">
        <f t="shared" ref="F52:F53" si="4">(F51+G51)/2</f>
        <v>0.99299433555172656</v>
      </c>
      <c r="G52" s="199">
        <f t="shared" ref="G52:G53" si="5">SQRT(F51*G51)</f>
        <v>0.99299433555172656</v>
      </c>
      <c r="H52" s="199">
        <f t="shared" ref="H52:H53" si="6">(F51-G51)/2</f>
        <v>0</v>
      </c>
      <c r="I52" s="199">
        <f t="shared" ref="I52:I53" si="7">PI()/(2*F52)</f>
        <v>1.5818784363176979</v>
      </c>
      <c r="K52" s="10"/>
      <c r="L52" s="10"/>
      <c r="M52" s="10"/>
      <c r="N52" s="287"/>
      <c r="O52" s="287"/>
      <c r="P52" s="287"/>
      <c r="Q52" s="287"/>
      <c r="R52" s="287"/>
      <c r="S52" s="287"/>
      <c r="T52" s="287"/>
      <c r="U52" s="287"/>
      <c r="V52" s="287"/>
      <c r="W52" s="287"/>
      <c r="X52" s="199"/>
      <c r="Y52" s="238"/>
      <c r="Z52" s="239"/>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row>
    <row r="53" spans="1:53" s="30" customFormat="1" hidden="1">
      <c r="E53" s="191">
        <v>7</v>
      </c>
      <c r="F53" s="199">
        <f t="shared" si="4"/>
        <v>0.99299433555172656</v>
      </c>
      <c r="G53" s="199">
        <f t="shared" si="5"/>
        <v>0.99299433555172656</v>
      </c>
      <c r="H53" s="199">
        <f t="shared" si="6"/>
        <v>0</v>
      </c>
      <c r="I53" s="261">
        <f t="shared" si="7"/>
        <v>1.5818784363176979</v>
      </c>
      <c r="K53" s="10"/>
      <c r="L53" s="10"/>
      <c r="M53" s="10"/>
      <c r="N53" s="287"/>
      <c r="O53" s="287"/>
      <c r="P53" s="287"/>
      <c r="Q53" s="287"/>
      <c r="R53" s="287"/>
      <c r="S53" s="287"/>
      <c r="T53" s="287"/>
      <c r="U53" s="287"/>
      <c r="V53" s="287"/>
      <c r="W53" s="287"/>
      <c r="X53" s="199"/>
      <c r="Y53" s="238"/>
      <c r="Z53" s="239"/>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row>
    <row r="54" spans="1:53" s="30" customFormat="1" hidden="1">
      <c r="A54" s="1"/>
      <c r="B54" s="216" t="s">
        <v>262</v>
      </c>
      <c r="C54" s="164">
        <f>SQRT(1-(C46)^2)</f>
        <v>0.98601329718326935</v>
      </c>
      <c r="D54" s="78" t="s">
        <v>103</v>
      </c>
      <c r="E54" s="191">
        <v>0</v>
      </c>
      <c r="F54" s="199">
        <v>1</v>
      </c>
      <c r="G54" s="199">
        <f>SQRT(1-C54*C54)</f>
        <v>0.16666666666666671</v>
      </c>
      <c r="H54" s="195">
        <f>C54</f>
        <v>0.98601329718326935</v>
      </c>
      <c r="I54" s="199">
        <f>PI()/(2*F54)</f>
        <v>1.5707963267948966</v>
      </c>
      <c r="J54" s="10"/>
      <c r="K54" s="10"/>
      <c r="L54" s="10"/>
      <c r="M54" s="10"/>
      <c r="N54" s="287"/>
      <c r="O54" s="287"/>
      <c r="P54" s="287"/>
      <c r="Q54" s="287"/>
      <c r="R54" s="287"/>
      <c r="S54" s="287"/>
      <c r="T54" s="287"/>
      <c r="U54" s="287"/>
      <c r="V54" s="287"/>
      <c r="W54" s="287"/>
      <c r="X54" s="199"/>
      <c r="Y54" s="238"/>
      <c r="Z54" s="239"/>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row>
    <row r="55" spans="1:53" s="30" customFormat="1" hidden="1">
      <c r="A55" s="10"/>
      <c r="B55" s="10"/>
      <c r="C55" s="10"/>
      <c r="D55" s="10"/>
      <c r="E55" s="191">
        <v>1</v>
      </c>
      <c r="F55" s="199">
        <f>(F54+G54)/2</f>
        <v>0.58333333333333337</v>
      </c>
      <c r="G55" s="199">
        <f>SQRT(F54*G54)</f>
        <v>0.40824829046386307</v>
      </c>
      <c r="H55" s="199">
        <f>(F54-G54)/2</f>
        <v>0.41666666666666663</v>
      </c>
      <c r="I55" s="199">
        <f>PI()/(2*F55)</f>
        <v>2.6927937030769655</v>
      </c>
      <c r="J55" s="10"/>
      <c r="K55" s="10"/>
      <c r="L55" s="10"/>
      <c r="M55" s="10"/>
      <c r="N55" s="287"/>
      <c r="O55" s="287"/>
      <c r="P55" s="287"/>
      <c r="Q55" s="287"/>
      <c r="R55" s="287"/>
      <c r="S55" s="287"/>
      <c r="T55" s="287"/>
      <c r="U55" s="287"/>
      <c r="V55" s="287"/>
      <c r="W55" s="287"/>
      <c r="X55" s="199"/>
      <c r="Y55" s="238"/>
      <c r="Z55" s="239"/>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row>
    <row r="56" spans="1:53" s="30" customFormat="1" hidden="1">
      <c r="A56" s="10"/>
      <c r="B56" s="10"/>
      <c r="C56" s="10"/>
      <c r="D56" s="10"/>
      <c r="E56" s="191">
        <v>2</v>
      </c>
      <c r="F56" s="199">
        <f t="shared" ref="F56:F59" si="8">(F55+G55)/2</f>
        <v>0.49579081189859819</v>
      </c>
      <c r="G56" s="199">
        <f t="shared" ref="G56:G59" si="9">SQRT(F55*G55)</f>
        <v>0.48800085666310067</v>
      </c>
      <c r="H56" s="199">
        <f t="shared" ref="H56:H59" si="10">(F55-G55)/2</f>
        <v>8.7542521434735149E-2</v>
      </c>
      <c r="I56" s="199">
        <f t="shared" ref="I56:I59" si="11">PI()/(2*F56)</f>
        <v>3.1682642943293677</v>
      </c>
      <c r="J56" s="10"/>
      <c r="K56" s="10"/>
      <c r="L56" s="10"/>
      <c r="M56" s="10"/>
      <c r="N56" s="287"/>
      <c r="O56" s="287"/>
      <c r="P56" s="287"/>
      <c r="Q56" s="287"/>
      <c r="R56" s="287"/>
      <c r="S56" s="287"/>
      <c r="T56" s="287"/>
      <c r="U56" s="287"/>
      <c r="V56" s="287"/>
      <c r="W56" s="287"/>
      <c r="X56" s="199"/>
      <c r="Y56" s="238"/>
      <c r="Z56" s="239"/>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row>
    <row r="57" spans="1:53" s="30" customFormat="1" hidden="1">
      <c r="A57" s="10"/>
      <c r="B57" s="10"/>
      <c r="C57" s="10"/>
      <c r="D57" s="10"/>
      <c r="E57" s="191">
        <v>3</v>
      </c>
      <c r="F57" s="199">
        <f t="shared" si="8"/>
        <v>0.49189583428084943</v>
      </c>
      <c r="G57" s="199">
        <f t="shared" si="9"/>
        <v>0.49188041324310744</v>
      </c>
      <c r="H57" s="199">
        <f t="shared" si="10"/>
        <v>3.8949776177487627E-3</v>
      </c>
      <c r="I57" s="199">
        <f t="shared" si="11"/>
        <v>3.1933515539756443</v>
      </c>
      <c r="J57" s="10"/>
      <c r="K57" s="10"/>
      <c r="L57" s="10"/>
      <c r="M57" s="10"/>
      <c r="N57" s="287"/>
      <c r="O57" s="287"/>
      <c r="P57" s="287"/>
      <c r="Q57" s="287"/>
      <c r="R57" s="287"/>
      <c r="S57" s="287"/>
      <c r="T57" s="287"/>
      <c r="U57" s="287"/>
      <c r="V57" s="287"/>
      <c r="W57" s="287"/>
      <c r="X57" s="199"/>
      <c r="Y57" s="238"/>
      <c r="Z57" s="239"/>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row>
    <row r="58" spans="1:53" s="30" customFormat="1" hidden="1">
      <c r="A58" s="10"/>
      <c r="B58" s="10"/>
      <c r="C58" s="10"/>
      <c r="D58" s="10"/>
      <c r="E58" s="191">
        <v>4</v>
      </c>
      <c r="F58" s="199">
        <f t="shared" si="8"/>
        <v>0.49188812376197844</v>
      </c>
      <c r="G58" s="199">
        <f t="shared" si="9"/>
        <v>0.49188812370154589</v>
      </c>
      <c r="H58" s="199">
        <f t="shared" si="10"/>
        <v>7.7105188709958306E-6</v>
      </c>
      <c r="I58" s="199">
        <f t="shared" si="11"/>
        <v>3.1934016108813292</v>
      </c>
      <c r="J58" s="10"/>
      <c r="K58" s="10"/>
      <c r="L58" s="10"/>
      <c r="M58" s="10"/>
      <c r="N58" s="287"/>
      <c r="O58" s="287"/>
      <c r="P58" s="287"/>
      <c r="Q58" s="287"/>
      <c r="R58" s="287"/>
      <c r="S58" s="287"/>
      <c r="T58" s="287"/>
      <c r="U58" s="287"/>
      <c r="V58" s="287"/>
      <c r="W58" s="287"/>
      <c r="X58" s="199"/>
      <c r="Y58" s="238"/>
      <c r="Z58" s="239"/>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row>
    <row r="59" spans="1:53" s="30" customFormat="1" hidden="1">
      <c r="A59" s="10"/>
      <c r="B59" s="10"/>
      <c r="C59" s="10"/>
      <c r="D59" s="10"/>
      <c r="E59" s="10">
        <v>5</v>
      </c>
      <c r="F59" s="199">
        <f t="shared" si="8"/>
        <v>0.49188812373176216</v>
      </c>
      <c r="G59" s="199">
        <f t="shared" si="9"/>
        <v>0.49188812373176216</v>
      </c>
      <c r="H59" s="199">
        <f t="shared" si="10"/>
        <v>3.021627392740811E-11</v>
      </c>
      <c r="I59" s="199">
        <f t="shared" si="11"/>
        <v>3.1934016110774972</v>
      </c>
      <c r="J59" s="10"/>
      <c r="K59" s="10"/>
      <c r="L59" s="10"/>
      <c r="M59" s="10"/>
      <c r="N59" s="287"/>
      <c r="O59" s="287"/>
      <c r="P59" s="287"/>
      <c r="Q59" s="287"/>
      <c r="R59" s="287"/>
      <c r="S59" s="287"/>
      <c r="T59" s="287"/>
      <c r="U59" s="287"/>
      <c r="V59" s="287"/>
      <c r="W59" s="287"/>
      <c r="X59" s="199"/>
      <c r="Y59" s="238"/>
      <c r="Z59" s="239"/>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row>
    <row r="60" spans="1:53" s="30" customFormat="1" hidden="1">
      <c r="E60" s="191">
        <v>6</v>
      </c>
      <c r="F60" s="199">
        <f t="shared" ref="F60:F61" si="12">(F59+G59)/2</f>
        <v>0.49188812373176216</v>
      </c>
      <c r="G60" s="199">
        <f t="shared" ref="G60:G61" si="13">SQRT(F59*G59)</f>
        <v>0.49188812373176216</v>
      </c>
      <c r="H60" s="199">
        <f t="shared" ref="H60:H61" si="14">(F59-G59)/2</f>
        <v>0</v>
      </c>
      <c r="I60" s="199">
        <f t="shared" ref="I60:I61" si="15">PI()/(2*F60)</f>
        <v>3.1934016110774972</v>
      </c>
      <c r="K60" s="10"/>
      <c r="L60" s="10"/>
      <c r="M60" s="10"/>
      <c r="N60" s="287"/>
      <c r="O60" s="287"/>
      <c r="P60" s="287"/>
      <c r="Q60" s="287"/>
      <c r="R60" s="287"/>
      <c r="S60" s="287"/>
      <c r="T60" s="287"/>
      <c r="U60" s="287"/>
      <c r="V60" s="287"/>
      <c r="W60" s="287"/>
      <c r="X60" s="199"/>
      <c r="Y60" s="238"/>
      <c r="Z60" s="239"/>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row>
    <row r="61" spans="1:53" hidden="1">
      <c r="E61" s="191">
        <v>7</v>
      </c>
      <c r="F61" s="199">
        <f t="shared" si="12"/>
        <v>0.49188812373176216</v>
      </c>
      <c r="G61" s="199">
        <f t="shared" si="13"/>
        <v>0.49188812373176216</v>
      </c>
      <c r="H61" s="199">
        <f t="shared" si="14"/>
        <v>0</v>
      </c>
      <c r="I61" s="261">
        <f t="shared" si="15"/>
        <v>3.1934016110774972</v>
      </c>
      <c r="X61" s="199"/>
      <c r="Y61" s="238"/>
      <c r="Z61" s="239"/>
    </row>
    <row r="62" spans="1:53" hidden="1">
      <c r="A62" s="1"/>
      <c r="B62" s="216" t="s">
        <v>263</v>
      </c>
      <c r="C62" s="215">
        <f>TANH(PI()*C42/(4*C44))/TANH(PI()*(2*C43+C42)/(4*C44))</f>
        <v>0.91715234761302245</v>
      </c>
      <c r="D62" s="78" t="s">
        <v>103</v>
      </c>
      <c r="E62" s="191">
        <v>0</v>
      </c>
      <c r="F62" s="199">
        <v>1</v>
      </c>
      <c r="G62" s="199">
        <f>SQRT(1-C62*C62)</f>
        <v>0.39853678784764862</v>
      </c>
      <c r="H62" s="195">
        <f>C62</f>
        <v>0.91715234761302245</v>
      </c>
      <c r="I62" s="199">
        <f>PI()/(2*F62)</f>
        <v>1.5707963267948966</v>
      </c>
      <c r="X62" s="199"/>
      <c r="Y62" s="238"/>
      <c r="Z62" s="239"/>
    </row>
    <row r="63" spans="1:53" hidden="1">
      <c r="E63" s="191">
        <v>1</v>
      </c>
      <c r="F63" s="199">
        <f>(F62+G62)/2</f>
        <v>0.69926839392382434</v>
      </c>
      <c r="G63" s="199">
        <f>SQRT(F62*G62)</f>
        <v>0.6312977014433433</v>
      </c>
      <c r="H63" s="199">
        <f>(F62-G62)/2</f>
        <v>0.30073160607617566</v>
      </c>
      <c r="I63" s="199">
        <f>PI()/(2*F63)</f>
        <v>2.2463425209033732</v>
      </c>
      <c r="X63" s="199"/>
      <c r="Y63" s="238"/>
      <c r="Z63" s="239"/>
    </row>
    <row r="64" spans="1:53" hidden="1">
      <c r="A64" s="30"/>
      <c r="B64" s="30"/>
      <c r="C64" s="30"/>
      <c r="D64" s="30"/>
      <c r="E64" s="191">
        <v>2</v>
      </c>
      <c r="F64" s="199">
        <f t="shared" ref="F64:F67" si="16">(F63+G63)/2</f>
        <v>0.66528304768358382</v>
      </c>
      <c r="G64" s="199">
        <f t="shared" ref="G64:G67" si="17">SQRT(F63*G63)</f>
        <v>0.66441442622514502</v>
      </c>
      <c r="H64" s="199">
        <f t="shared" ref="H64:H67" si="18">(F63-G63)/2</f>
        <v>3.3985346240240522E-2</v>
      </c>
      <c r="I64" s="199">
        <f t="shared" ref="I64:I67" si="19">PI()/(2*F64)</f>
        <v>2.3610947735165877</v>
      </c>
      <c r="X64" s="199"/>
      <c r="Y64" s="238"/>
      <c r="Z64" s="239"/>
    </row>
    <row r="65" spans="1:26" hidden="1">
      <c r="E65" s="191">
        <v>3</v>
      </c>
      <c r="F65" s="199">
        <f t="shared" si="16"/>
        <v>0.66484873695436442</v>
      </c>
      <c r="G65" s="199">
        <f t="shared" si="17"/>
        <v>0.6648485950981653</v>
      </c>
      <c r="H65" s="199">
        <f t="shared" si="18"/>
        <v>4.3431072921940039E-4</v>
      </c>
      <c r="I65" s="199">
        <f t="shared" si="19"/>
        <v>2.3626371526110259</v>
      </c>
      <c r="K65" s="30"/>
      <c r="L65" s="30"/>
      <c r="M65" s="30"/>
      <c r="X65" s="199"/>
      <c r="Y65" s="238"/>
      <c r="Z65" s="239"/>
    </row>
    <row r="66" spans="1:26" hidden="1">
      <c r="E66" s="191">
        <v>4</v>
      </c>
      <c r="F66" s="199">
        <f t="shared" si="16"/>
        <v>0.66484866602626491</v>
      </c>
      <c r="G66" s="199">
        <f t="shared" si="17"/>
        <v>0.66484866602626103</v>
      </c>
      <c r="H66" s="199">
        <f t="shared" si="18"/>
        <v>7.0928099560330082E-8</v>
      </c>
      <c r="I66" s="199">
        <f t="shared" si="19"/>
        <v>2.3626374046644205</v>
      </c>
      <c r="K66" s="30"/>
      <c r="L66" s="30"/>
      <c r="M66" s="30"/>
      <c r="X66" s="199"/>
      <c r="Y66" s="238"/>
      <c r="Z66" s="239"/>
    </row>
    <row r="67" spans="1:26" hidden="1">
      <c r="E67" s="10">
        <v>5</v>
      </c>
      <c r="F67" s="199">
        <f t="shared" si="16"/>
        <v>0.66484866602626291</v>
      </c>
      <c r="G67" s="199">
        <f t="shared" si="17"/>
        <v>0.66484866602626302</v>
      </c>
      <c r="H67" s="199">
        <f t="shared" si="18"/>
        <v>1.9428902930940239E-15</v>
      </c>
      <c r="I67" s="199">
        <f t="shared" si="19"/>
        <v>2.3626374046644276</v>
      </c>
      <c r="K67" s="30"/>
      <c r="L67" s="30"/>
      <c r="M67" s="30"/>
      <c r="X67" s="199"/>
      <c r="Y67" s="238"/>
      <c r="Z67" s="239"/>
    </row>
    <row r="68" spans="1:26" hidden="1">
      <c r="E68" s="191">
        <v>6</v>
      </c>
      <c r="F68" s="199">
        <f t="shared" ref="F68:F69" si="20">(F67+G67)/2</f>
        <v>0.66484866602626291</v>
      </c>
      <c r="G68" s="199">
        <f t="shared" ref="G68:G69" si="21">SQRT(F67*G67)</f>
        <v>0.66484866602626302</v>
      </c>
      <c r="H68" s="199">
        <f t="shared" ref="H68:H69" si="22">(F67-G67)/2</f>
        <v>-5.5511151231257827E-17</v>
      </c>
      <c r="I68" s="199">
        <f t="shared" ref="I68:I69" si="23">PI()/(2*F68)</f>
        <v>2.3626374046644276</v>
      </c>
      <c r="K68" s="30"/>
      <c r="L68" s="30"/>
      <c r="M68" s="30"/>
      <c r="X68" s="199"/>
      <c r="Y68" s="238"/>
      <c r="Z68" s="239"/>
    </row>
    <row r="69" spans="1:26" hidden="1">
      <c r="E69" s="191">
        <v>7</v>
      </c>
      <c r="F69" s="199">
        <f t="shared" si="20"/>
        <v>0.66484866602626291</v>
      </c>
      <c r="G69" s="199">
        <f t="shared" si="21"/>
        <v>0.66484866602626302</v>
      </c>
      <c r="H69" s="199">
        <f t="shared" si="22"/>
        <v>-5.5511151231257827E-17</v>
      </c>
      <c r="I69" s="261">
        <f t="shared" si="23"/>
        <v>2.3626374046644276</v>
      </c>
      <c r="K69" s="30"/>
      <c r="L69" s="30"/>
      <c r="M69" s="30"/>
      <c r="X69" s="199"/>
      <c r="Y69" s="238"/>
      <c r="Z69" s="239"/>
    </row>
    <row r="70" spans="1:26" hidden="1">
      <c r="A70" s="31"/>
      <c r="B70" s="235" t="s">
        <v>264</v>
      </c>
      <c r="C70" s="236">
        <f>SQRT(1-(C62)^2)</f>
        <v>0.39853678784764862</v>
      </c>
      <c r="D70" s="78" t="s">
        <v>103</v>
      </c>
      <c r="E70" s="191">
        <v>0</v>
      </c>
      <c r="F70" s="199">
        <v>1</v>
      </c>
      <c r="G70" s="199">
        <f>SQRT(1-C70*C70)</f>
        <v>0.91715234761302245</v>
      </c>
      <c r="H70" s="195">
        <f>C70</f>
        <v>0.39853678784764862</v>
      </c>
      <c r="I70" s="199">
        <f>PI()/(2*F70)</f>
        <v>1.5707963267948966</v>
      </c>
      <c r="K70" s="30"/>
      <c r="L70" s="30"/>
      <c r="M70" s="30"/>
      <c r="X70" s="199"/>
      <c r="Y70" s="238"/>
      <c r="Z70" s="239"/>
    </row>
    <row r="71" spans="1:26" hidden="1">
      <c r="A71" s="31"/>
      <c r="B71" s="235"/>
      <c r="C71" s="236"/>
      <c r="D71" s="72"/>
      <c r="E71" s="191">
        <v>1</v>
      </c>
      <c r="F71" s="199">
        <f>(F70+G70)/2</f>
        <v>0.95857617380651128</v>
      </c>
      <c r="G71" s="199">
        <f>SQRT(F70*G70)</f>
        <v>0.95768071277071376</v>
      </c>
      <c r="H71" s="199">
        <f>(F70-G70)/2</f>
        <v>4.1423826193488777E-2</v>
      </c>
      <c r="I71" s="199">
        <f>PI()/(2*F71)</f>
        <v>1.638676580659475</v>
      </c>
      <c r="K71" s="30"/>
      <c r="L71" s="30"/>
      <c r="M71" s="30"/>
      <c r="X71" s="199"/>
      <c r="Y71" s="238"/>
      <c r="Z71" s="239"/>
    </row>
    <row r="72" spans="1:26" hidden="1">
      <c r="A72" s="31"/>
      <c r="B72" s="235"/>
      <c r="C72" s="236"/>
      <c r="D72" s="72"/>
      <c r="E72" s="191">
        <v>2</v>
      </c>
      <c r="F72" s="199">
        <f t="shared" ref="F72:F77" si="24">(F71+G71)/2</f>
        <v>0.95812844328861257</v>
      </c>
      <c r="G72" s="199">
        <f t="shared" ref="G72:G77" si="25">SQRT(F71*G71)</f>
        <v>0.95812833867704972</v>
      </c>
      <c r="H72" s="199">
        <f t="shared" ref="H72:H77" si="26">(F71-G71)/2</f>
        <v>4.4773051789875895E-4</v>
      </c>
      <c r="I72" s="199">
        <f t="shared" ref="I72:I77" si="27">PI()/(2*F72)</f>
        <v>1.6394423292595364</v>
      </c>
      <c r="K72" s="30"/>
      <c r="L72" s="30"/>
      <c r="M72" s="30"/>
      <c r="X72" s="199"/>
      <c r="Y72" s="238"/>
      <c r="Z72" s="239"/>
    </row>
    <row r="73" spans="1:26" hidden="1">
      <c r="A73" s="31"/>
      <c r="B73" s="235"/>
      <c r="C73" s="236"/>
      <c r="D73" s="72"/>
      <c r="E73" s="191">
        <v>3</v>
      </c>
      <c r="F73" s="199">
        <f t="shared" si="24"/>
        <v>0.95812839098283109</v>
      </c>
      <c r="G73" s="199">
        <f t="shared" si="25"/>
        <v>0.95812839098282976</v>
      </c>
      <c r="H73" s="199">
        <f t="shared" si="26"/>
        <v>5.2305781428341191E-8</v>
      </c>
      <c r="I73" s="199">
        <f t="shared" si="27"/>
        <v>1.6394424187593497</v>
      </c>
      <c r="K73" s="30"/>
      <c r="L73" s="30"/>
      <c r="M73" s="30"/>
      <c r="X73" s="199"/>
      <c r="Y73" s="238"/>
      <c r="Z73" s="239"/>
    </row>
    <row r="74" spans="1:26" hidden="1">
      <c r="A74" s="31"/>
      <c r="B74" s="235"/>
      <c r="C74" s="236"/>
      <c r="D74" s="72"/>
      <c r="E74" s="191">
        <v>4</v>
      </c>
      <c r="F74" s="199">
        <f t="shared" si="24"/>
        <v>0.95812839098283042</v>
      </c>
      <c r="G74" s="199">
        <f t="shared" si="25"/>
        <v>0.95812839098283042</v>
      </c>
      <c r="H74" s="199">
        <f t="shared" si="26"/>
        <v>6.6613381477509392E-16</v>
      </c>
      <c r="I74" s="199">
        <f t="shared" si="27"/>
        <v>1.6394424187593508</v>
      </c>
      <c r="K74" s="30"/>
      <c r="L74" s="30"/>
      <c r="M74" s="30"/>
      <c r="X74" s="199"/>
      <c r="Y74" s="238"/>
      <c r="Z74" s="239"/>
    </row>
    <row r="75" spans="1:26" hidden="1">
      <c r="A75" s="31"/>
      <c r="B75" s="235"/>
      <c r="C75" s="236"/>
      <c r="D75" s="72"/>
      <c r="E75" s="10">
        <v>5</v>
      </c>
      <c r="F75" s="199">
        <f t="shared" si="24"/>
        <v>0.95812839098283042</v>
      </c>
      <c r="G75" s="199">
        <f t="shared" si="25"/>
        <v>0.95812839098283042</v>
      </c>
      <c r="H75" s="199">
        <f t="shared" si="26"/>
        <v>0</v>
      </c>
      <c r="I75" s="199">
        <f t="shared" si="27"/>
        <v>1.6394424187593508</v>
      </c>
      <c r="K75" s="30"/>
      <c r="L75" s="30"/>
      <c r="M75" s="30"/>
      <c r="X75" s="199"/>
      <c r="Y75" s="238"/>
      <c r="Z75" s="239"/>
    </row>
    <row r="76" spans="1:26" hidden="1">
      <c r="A76" s="31"/>
      <c r="B76" s="235"/>
      <c r="C76" s="236"/>
      <c r="D76" s="72"/>
      <c r="E76" s="191">
        <v>6</v>
      </c>
      <c r="F76" s="199">
        <f t="shared" si="24"/>
        <v>0.95812839098283042</v>
      </c>
      <c r="G76" s="199">
        <f t="shared" si="25"/>
        <v>0.95812839098283042</v>
      </c>
      <c r="H76" s="199">
        <f t="shared" si="26"/>
        <v>0</v>
      </c>
      <c r="I76" s="199">
        <f t="shared" si="27"/>
        <v>1.6394424187593508</v>
      </c>
      <c r="K76" s="30"/>
      <c r="L76" s="30"/>
      <c r="M76" s="30"/>
      <c r="X76" s="199"/>
      <c r="Y76" s="238"/>
      <c r="Z76" s="239"/>
    </row>
    <row r="77" spans="1:26" hidden="1">
      <c r="A77" s="186"/>
      <c r="B77" s="217"/>
      <c r="C77" s="218"/>
      <c r="D77" s="67"/>
      <c r="E77" s="240">
        <v>7</v>
      </c>
      <c r="F77" s="241">
        <f t="shared" si="24"/>
        <v>0.95812839098283042</v>
      </c>
      <c r="G77" s="241">
        <f t="shared" si="25"/>
        <v>0.95812839098283042</v>
      </c>
      <c r="H77" s="241">
        <f t="shared" si="26"/>
        <v>0</v>
      </c>
      <c r="I77" s="262">
        <f t="shared" si="27"/>
        <v>1.6394424187593508</v>
      </c>
      <c r="J77" s="20"/>
      <c r="K77" s="20"/>
      <c r="L77" s="20"/>
      <c r="M77" s="20"/>
      <c r="X77" s="199"/>
      <c r="Y77" s="238"/>
      <c r="Z77" s="239"/>
    </row>
    <row r="78" spans="1:26">
      <c r="A78" s="184" t="s">
        <v>242</v>
      </c>
      <c r="B78" s="184"/>
      <c r="C78" s="79" t="s">
        <v>31</v>
      </c>
      <c r="D78" s="79" t="s">
        <v>11</v>
      </c>
      <c r="E78" s="80" t="s">
        <v>32</v>
      </c>
      <c r="F78" s="68"/>
      <c r="G78" s="68"/>
      <c r="H78" s="185"/>
      <c r="I78" s="57"/>
      <c r="J78" s="57"/>
      <c r="K78" s="57"/>
      <c r="L78" s="57"/>
      <c r="M78" s="57"/>
      <c r="X78" s="199"/>
      <c r="Y78" s="238"/>
      <c r="Z78" s="239"/>
    </row>
    <row r="79" spans="1:26">
      <c r="A79" s="76" t="s">
        <v>243</v>
      </c>
      <c r="B79" s="155"/>
      <c r="C79" s="205">
        <f>(1+C41*I61/I53*I69/I77)/(1+I61/I53*I69/I77)</f>
        <v>3.3814290817376818</v>
      </c>
      <c r="D79" s="196" t="s">
        <v>103</v>
      </c>
      <c r="E79" s="202" t="s">
        <v>260</v>
      </c>
      <c r="F79" s="203"/>
      <c r="G79" s="203"/>
      <c r="H79" s="200"/>
      <c r="I79" s="200"/>
      <c r="J79" s="200"/>
      <c r="K79" s="201"/>
      <c r="L79" s="201"/>
      <c r="M79" s="201"/>
    </row>
    <row r="80" spans="1:26">
      <c r="A80" s="76"/>
      <c r="B80" s="155"/>
      <c r="C80" s="214"/>
      <c r="D80" s="203"/>
      <c r="E80" s="203"/>
      <c r="F80" s="203"/>
      <c r="G80" s="203"/>
      <c r="H80" s="200"/>
      <c r="I80" s="200"/>
      <c r="J80" s="200"/>
      <c r="K80" s="201"/>
      <c r="L80" s="201"/>
      <c r="M80" s="201"/>
    </row>
    <row r="81" spans="1:15">
      <c r="A81" s="20"/>
      <c r="B81" s="20"/>
      <c r="C81" s="57"/>
      <c r="D81" s="20"/>
      <c r="E81" s="20"/>
      <c r="F81" s="186"/>
      <c r="G81" s="20"/>
      <c r="H81" s="20"/>
      <c r="I81" s="20"/>
      <c r="J81" s="20"/>
      <c r="K81" s="20"/>
      <c r="L81" s="20"/>
      <c r="M81" s="20"/>
      <c r="N81" s="191"/>
      <c r="O81" s="191"/>
    </row>
    <row r="82" spans="1:15">
      <c r="A82" s="198" t="s">
        <v>245</v>
      </c>
      <c r="B82" s="183"/>
      <c r="C82" s="56"/>
      <c r="D82" s="183"/>
      <c r="E82" s="183"/>
      <c r="F82" s="183"/>
      <c r="G82" s="183"/>
      <c r="H82" s="183"/>
      <c r="I82" s="183"/>
      <c r="J82" s="183"/>
      <c r="K82" s="183"/>
      <c r="L82" s="183"/>
      <c r="M82" s="183"/>
      <c r="N82" s="199"/>
      <c r="O82" s="199"/>
    </row>
    <row r="83" spans="1:15">
      <c r="C83" s="51"/>
      <c r="N83" s="199"/>
      <c r="O83" s="199"/>
    </row>
    <row r="84" spans="1:15">
      <c r="A84" s="189"/>
      <c r="B84" s="191"/>
      <c r="C84" s="190"/>
      <c r="D84" s="190"/>
      <c r="E84" s="192"/>
      <c r="F84" s="192"/>
      <c r="G84" s="192"/>
      <c r="H84" s="193"/>
      <c r="I84" s="197"/>
      <c r="J84" s="197"/>
      <c r="K84" s="191"/>
      <c r="L84" s="197"/>
      <c r="M84" s="199"/>
      <c r="N84" s="199"/>
      <c r="O84" s="199"/>
    </row>
    <row r="85" spans="1:15">
      <c r="A85" s="191"/>
      <c r="B85" s="191"/>
      <c r="C85" s="292"/>
      <c r="D85" s="170"/>
      <c r="E85" s="194"/>
      <c r="F85" s="90"/>
      <c r="G85" s="195"/>
      <c r="H85" s="170"/>
      <c r="I85" s="178"/>
      <c r="J85" s="191"/>
      <c r="K85" s="191"/>
      <c r="L85" s="191"/>
      <c r="M85" s="199"/>
      <c r="N85" s="199"/>
      <c r="O85" s="199"/>
    </row>
    <row r="86" spans="1:15">
      <c r="A86" s="191"/>
      <c r="B86" s="191"/>
      <c r="C86" s="191"/>
      <c r="D86" s="191"/>
      <c r="E86" s="191"/>
      <c r="F86" s="191"/>
      <c r="G86" s="191"/>
      <c r="H86" s="191"/>
      <c r="I86" s="191"/>
      <c r="J86" s="191"/>
      <c r="K86" s="191"/>
      <c r="L86" s="191"/>
      <c r="M86" s="191"/>
    </row>
    <row r="87" spans="1:15">
      <c r="A87" s="20"/>
      <c r="B87" s="20"/>
      <c r="C87" s="57"/>
      <c r="D87" s="20"/>
      <c r="E87" s="20"/>
      <c r="F87" s="186"/>
      <c r="G87" s="20"/>
      <c r="H87" s="20"/>
      <c r="I87" s="20"/>
      <c r="J87" s="20"/>
      <c r="K87" s="20"/>
      <c r="L87" s="20"/>
      <c r="M87" s="20"/>
    </row>
    <row r="88" spans="1:15">
      <c r="A88" s="184" t="s">
        <v>30</v>
      </c>
      <c r="B88" s="184"/>
      <c r="C88" s="79" t="s">
        <v>31</v>
      </c>
      <c r="D88" s="79" t="s">
        <v>11</v>
      </c>
      <c r="E88" s="80" t="s">
        <v>32</v>
      </c>
      <c r="F88" s="68"/>
      <c r="G88" s="68"/>
      <c r="H88" s="185"/>
      <c r="I88" s="57"/>
      <c r="J88" s="57"/>
      <c r="K88" s="57"/>
      <c r="L88" s="57"/>
      <c r="M88" s="57"/>
    </row>
    <row r="89" spans="1:15">
      <c r="A89" s="208" t="s">
        <v>101</v>
      </c>
      <c r="B89" s="56"/>
      <c r="C89" s="286" t="s">
        <v>256</v>
      </c>
      <c r="D89" s="209" t="s">
        <v>103</v>
      </c>
      <c r="E89" s="208" t="s">
        <v>246</v>
      </c>
      <c r="F89" s="56"/>
      <c r="G89" s="56"/>
      <c r="H89" s="56"/>
      <c r="I89" s="56"/>
      <c r="J89" s="56"/>
      <c r="K89" s="56"/>
      <c r="L89" s="56"/>
      <c r="M89" s="56"/>
    </row>
    <row r="90" spans="1:15">
      <c r="A90" s="184" t="s">
        <v>242</v>
      </c>
      <c r="B90" s="184"/>
      <c r="C90" s="79" t="s">
        <v>31</v>
      </c>
      <c r="D90" s="79" t="s">
        <v>11</v>
      </c>
      <c r="E90" s="80" t="s">
        <v>32</v>
      </c>
      <c r="F90" s="68"/>
      <c r="G90" s="68"/>
      <c r="H90" s="185"/>
      <c r="I90" s="57"/>
      <c r="J90" s="57"/>
      <c r="K90" s="57"/>
      <c r="L90" s="57"/>
      <c r="M90" s="57"/>
    </row>
    <row r="91" spans="1:15">
      <c r="A91" s="76" t="s">
        <v>243</v>
      </c>
      <c r="B91" s="155"/>
      <c r="C91" s="205" t="str">
        <f>C89</f>
        <v>4.2</v>
      </c>
      <c r="D91" s="196" t="s">
        <v>103</v>
      </c>
      <c r="E91" s="202" t="s">
        <v>257</v>
      </c>
      <c r="F91" s="203"/>
      <c r="G91" s="203"/>
      <c r="H91" s="200"/>
      <c r="I91" s="200"/>
      <c r="J91" s="200"/>
      <c r="K91" s="201"/>
      <c r="L91" s="201"/>
      <c r="M91" s="201"/>
    </row>
    <row r="94" spans="1:15">
      <c r="A94" s="198" t="s">
        <v>321</v>
      </c>
      <c r="B94" s="183"/>
      <c r="C94" s="183"/>
      <c r="D94" s="183"/>
      <c r="E94" s="183"/>
      <c r="F94" s="183"/>
      <c r="G94" s="183"/>
      <c r="H94" s="183"/>
      <c r="I94" s="183"/>
      <c r="J94" s="183"/>
      <c r="K94" s="183"/>
      <c r="L94" s="183"/>
      <c r="M94" s="183"/>
    </row>
    <row r="105" spans="1:13">
      <c r="A105" s="30"/>
      <c r="B105" s="30"/>
      <c r="C105" s="30"/>
      <c r="D105" s="30"/>
      <c r="E105" s="30"/>
      <c r="F105" s="31"/>
      <c r="G105" s="30"/>
      <c r="H105" s="30"/>
      <c r="I105" s="30"/>
      <c r="J105" s="30"/>
      <c r="K105" s="30"/>
      <c r="L105" s="30"/>
      <c r="M105" s="30"/>
    </row>
    <row r="106" spans="1:13">
      <c r="A106" s="20"/>
      <c r="B106" s="20"/>
      <c r="C106" s="20"/>
      <c r="D106" s="20"/>
      <c r="E106" s="20"/>
      <c r="F106" s="186"/>
      <c r="G106" s="20"/>
      <c r="H106" s="20"/>
      <c r="I106" s="20"/>
      <c r="J106" s="20"/>
      <c r="K106" s="20"/>
      <c r="L106" s="20"/>
      <c r="M106" s="20"/>
    </row>
    <row r="107" spans="1:13">
      <c r="A107" s="184" t="s">
        <v>30</v>
      </c>
      <c r="B107" s="184"/>
      <c r="C107" s="79" t="s">
        <v>31</v>
      </c>
      <c r="D107" s="79" t="s">
        <v>11</v>
      </c>
      <c r="E107" s="80" t="s">
        <v>32</v>
      </c>
      <c r="F107" s="68"/>
      <c r="G107" s="68"/>
      <c r="H107" s="185"/>
      <c r="I107" s="57"/>
      <c r="J107" s="57"/>
      <c r="K107" s="57"/>
      <c r="L107" s="57"/>
      <c r="M107" s="57"/>
    </row>
    <row r="108" spans="1:13">
      <c r="A108" s="49" t="s">
        <v>274</v>
      </c>
      <c r="B108" s="282"/>
      <c r="C108" s="283" t="s">
        <v>323</v>
      </c>
      <c r="D108" s="148" t="s">
        <v>103</v>
      </c>
      <c r="E108" s="49" t="s">
        <v>273</v>
      </c>
      <c r="F108" s="282"/>
      <c r="G108" s="282"/>
      <c r="H108" s="282"/>
      <c r="I108" s="282"/>
      <c r="J108" s="282"/>
      <c r="K108" s="282"/>
      <c r="L108" s="282"/>
      <c r="M108" s="282"/>
    </row>
    <row r="109" spans="1:13">
      <c r="A109" s="76" t="s">
        <v>275</v>
      </c>
      <c r="B109" s="72"/>
      <c r="C109" s="284" t="s">
        <v>102</v>
      </c>
      <c r="D109" s="78" t="s">
        <v>103</v>
      </c>
      <c r="E109" s="52" t="s">
        <v>320</v>
      </c>
      <c r="F109" s="72"/>
      <c r="G109" s="72"/>
      <c r="H109" s="72"/>
      <c r="I109" s="72"/>
      <c r="J109" s="72"/>
      <c r="K109" s="72"/>
      <c r="L109" s="72"/>
      <c r="M109" s="72"/>
    </row>
    <row r="110" spans="1:13">
      <c r="A110" s="184" t="s">
        <v>242</v>
      </c>
      <c r="B110" s="184"/>
      <c r="C110" s="79" t="s">
        <v>31</v>
      </c>
      <c r="D110" s="79" t="s">
        <v>11</v>
      </c>
      <c r="E110" s="80" t="s">
        <v>32</v>
      </c>
      <c r="F110" s="68"/>
      <c r="G110" s="68"/>
      <c r="H110" s="185"/>
      <c r="I110" s="57"/>
      <c r="J110" s="57"/>
      <c r="K110" s="57"/>
      <c r="L110" s="57"/>
      <c r="M110" s="57"/>
    </row>
    <row r="111" spans="1:13">
      <c r="A111" s="76" t="s">
        <v>243</v>
      </c>
      <c r="B111" s="155"/>
      <c r="C111" s="205">
        <f>C109+0.25*(C108-C109)</f>
        <v>1.5</v>
      </c>
      <c r="D111" s="196" t="s">
        <v>103</v>
      </c>
      <c r="E111" s="202" t="s">
        <v>248</v>
      </c>
      <c r="F111" s="203"/>
      <c r="G111" s="203"/>
      <c r="H111" s="200"/>
      <c r="I111" s="200"/>
      <c r="J111" s="200"/>
      <c r="K111" s="201"/>
      <c r="L111" s="201"/>
      <c r="M111" s="201"/>
    </row>
    <row r="112" spans="1:13">
      <c r="C112" s="51"/>
    </row>
    <row r="113" spans="1:13">
      <c r="A113" s="191"/>
      <c r="B113" s="191"/>
      <c r="C113" s="292"/>
      <c r="D113" s="170"/>
      <c r="E113" s="194"/>
      <c r="F113" s="90"/>
      <c r="G113" s="195"/>
      <c r="H113" s="170"/>
      <c r="I113" s="178"/>
      <c r="J113" s="191"/>
      <c r="K113" s="191"/>
      <c r="L113" s="191"/>
      <c r="M113" s="199"/>
    </row>
    <row r="114" spans="1:13">
      <c r="A114" s="198" t="s">
        <v>322</v>
      </c>
      <c r="B114" s="183"/>
      <c r="C114" s="56"/>
      <c r="D114" s="183"/>
      <c r="E114" s="183"/>
      <c r="F114" s="183"/>
      <c r="G114" s="183"/>
      <c r="H114" s="183"/>
      <c r="I114" s="183"/>
      <c r="J114" s="183"/>
      <c r="K114" s="183"/>
      <c r="L114" s="183"/>
      <c r="M114" s="183"/>
    </row>
    <row r="115" spans="1:13">
      <c r="C115" s="51"/>
    </row>
    <row r="116" spans="1:13">
      <c r="C116" s="51"/>
    </row>
    <row r="117" spans="1:13">
      <c r="C117" s="51"/>
    </row>
    <row r="118" spans="1:13">
      <c r="C118" s="51"/>
    </row>
    <row r="119" spans="1:13">
      <c r="C119" s="51"/>
    </row>
    <row r="120" spans="1:13">
      <c r="C120" s="51"/>
    </row>
    <row r="121" spans="1:13">
      <c r="C121" s="51"/>
    </row>
    <row r="122" spans="1:13">
      <c r="C122" s="51"/>
    </row>
    <row r="123" spans="1:13">
      <c r="C123" s="51"/>
    </row>
    <row r="124" spans="1:13">
      <c r="C124" s="51"/>
    </row>
    <row r="125" spans="1:13">
      <c r="A125" s="30"/>
      <c r="B125" s="30"/>
      <c r="C125" s="77"/>
      <c r="D125" s="30"/>
      <c r="E125" s="30"/>
      <c r="F125" s="31"/>
      <c r="G125" s="30"/>
      <c r="H125" s="30"/>
      <c r="I125" s="30"/>
      <c r="J125" s="30"/>
      <c r="K125" s="30"/>
      <c r="L125" s="30"/>
      <c r="M125" s="30"/>
    </row>
    <row r="126" spans="1:13">
      <c r="A126" s="20"/>
      <c r="B126" s="20"/>
      <c r="C126" s="57"/>
      <c r="D126" s="20"/>
      <c r="E126" s="20"/>
      <c r="F126" s="186"/>
      <c r="G126" s="20"/>
      <c r="H126" s="20"/>
      <c r="I126" s="20"/>
      <c r="J126" s="20"/>
      <c r="K126" s="20"/>
      <c r="L126" s="20"/>
      <c r="M126" s="20"/>
    </row>
    <row r="127" spans="1:13">
      <c r="A127" s="184" t="s">
        <v>30</v>
      </c>
      <c r="B127" s="184"/>
      <c r="C127" s="79" t="s">
        <v>31</v>
      </c>
      <c r="D127" s="79" t="s">
        <v>11</v>
      </c>
      <c r="E127" s="80" t="s">
        <v>32</v>
      </c>
      <c r="F127" s="68"/>
      <c r="G127" s="68"/>
      <c r="H127" s="185"/>
      <c r="I127" s="57"/>
      <c r="J127" s="57"/>
      <c r="K127" s="57"/>
      <c r="L127" s="57"/>
      <c r="M127" s="57"/>
    </row>
    <row r="128" spans="1:13">
      <c r="A128" s="49" t="s">
        <v>274</v>
      </c>
      <c r="B128" s="282"/>
      <c r="C128" s="283" t="s">
        <v>324</v>
      </c>
      <c r="D128" s="148" t="s">
        <v>103</v>
      </c>
      <c r="E128" s="49" t="s">
        <v>273</v>
      </c>
      <c r="F128" s="282"/>
      <c r="G128" s="282"/>
      <c r="H128" s="282"/>
      <c r="I128" s="282"/>
      <c r="J128" s="282"/>
      <c r="K128" s="282"/>
      <c r="L128" s="282"/>
      <c r="M128" s="282"/>
    </row>
    <row r="129" spans="1:13">
      <c r="A129" s="76" t="s">
        <v>275</v>
      </c>
      <c r="B129" s="72"/>
      <c r="C129" s="284" t="s">
        <v>323</v>
      </c>
      <c r="D129" s="78" t="s">
        <v>103</v>
      </c>
      <c r="E129" s="52" t="s">
        <v>311</v>
      </c>
      <c r="F129" s="72"/>
      <c r="G129" s="72"/>
      <c r="H129" s="72"/>
      <c r="I129" s="72"/>
      <c r="J129" s="72"/>
      <c r="K129" s="72"/>
      <c r="L129" s="72"/>
      <c r="M129" s="72"/>
    </row>
    <row r="130" spans="1:13">
      <c r="A130" s="76" t="s">
        <v>312</v>
      </c>
      <c r="B130" s="72"/>
      <c r="C130" s="284" t="s">
        <v>315</v>
      </c>
      <c r="D130" s="78" t="s">
        <v>100</v>
      </c>
      <c r="E130" s="52" t="s">
        <v>314</v>
      </c>
      <c r="F130" s="72"/>
      <c r="G130" s="72"/>
      <c r="H130" s="72"/>
      <c r="I130" s="72"/>
      <c r="J130" s="72"/>
      <c r="K130" s="72"/>
      <c r="L130" s="72"/>
      <c r="M130" s="72"/>
    </row>
    <row r="131" spans="1:13">
      <c r="A131" s="110" t="s">
        <v>313</v>
      </c>
      <c r="B131" s="67"/>
      <c r="C131" s="285" t="s">
        <v>317</v>
      </c>
      <c r="D131" s="188" t="s">
        <v>103</v>
      </c>
      <c r="E131" s="101" t="s">
        <v>316</v>
      </c>
      <c r="F131" s="67"/>
      <c r="G131" s="67"/>
      <c r="H131" s="67"/>
      <c r="I131" s="67"/>
      <c r="J131" s="67"/>
      <c r="K131" s="67"/>
      <c r="L131" s="67"/>
      <c r="M131" s="67"/>
    </row>
    <row r="132" spans="1:13">
      <c r="A132" s="184" t="s">
        <v>242</v>
      </c>
      <c r="B132" s="184"/>
      <c r="C132" s="79" t="s">
        <v>31</v>
      </c>
      <c r="D132" s="79" t="s">
        <v>11</v>
      </c>
      <c r="E132" s="80" t="s">
        <v>32</v>
      </c>
      <c r="F132" s="68"/>
      <c r="G132" s="68"/>
      <c r="H132" s="185"/>
      <c r="I132" s="57"/>
      <c r="J132" s="57"/>
      <c r="K132" s="57"/>
      <c r="L132" s="57"/>
      <c r="M132" s="57"/>
    </row>
    <row r="133" spans="1:13">
      <c r="A133" s="76" t="s">
        <v>243</v>
      </c>
      <c r="B133" s="155"/>
      <c r="C133" s="205">
        <f>C129+(0.25+0.0004*(ATAN(C131*PI()*C130)^2))*(C128-C129)</f>
        <v>2.8146528026599427</v>
      </c>
      <c r="D133" s="196" t="s">
        <v>103</v>
      </c>
      <c r="E133" s="202" t="s">
        <v>248</v>
      </c>
      <c r="F133" s="203"/>
      <c r="G133" s="203"/>
      <c r="H133" s="200"/>
      <c r="I133" s="200"/>
      <c r="J133" s="200"/>
      <c r="K133" s="201"/>
      <c r="L133" s="201"/>
      <c r="M133" s="201"/>
    </row>
    <row r="134" spans="1:13" ht="12">
      <c r="F134" s="10"/>
    </row>
    <row r="135" spans="1:13">
      <c r="A135" s="1" t="s">
        <v>213</v>
      </c>
      <c r="B135" s="1"/>
      <c r="C135" s="1"/>
      <c r="D135" s="54"/>
      <c r="E135" s="54"/>
      <c r="F135" s="54"/>
      <c r="G135" s="54"/>
      <c r="H135" s="54"/>
      <c r="I135" s="54"/>
      <c r="J135" s="54"/>
      <c r="K135" s="54"/>
      <c r="L135" s="54"/>
      <c r="M135" s="54"/>
    </row>
    <row r="136" spans="1:13">
      <c r="A136" s="232" t="s">
        <v>247</v>
      </c>
      <c r="B136" s="232"/>
      <c r="C136" s="232"/>
      <c r="D136" s="232"/>
      <c r="E136" s="232"/>
      <c r="F136" s="232"/>
      <c r="G136" s="232"/>
      <c r="H136" s="232"/>
      <c r="I136" s="232"/>
      <c r="J136" s="232"/>
      <c r="K136" s="232"/>
      <c r="L136" s="232"/>
      <c r="M136" s="232"/>
    </row>
    <row r="137" spans="1:13">
      <c r="A137" s="207" t="s">
        <v>259</v>
      </c>
      <c r="B137" s="207"/>
      <c r="C137" s="207"/>
      <c r="D137" s="207"/>
      <c r="E137" s="207"/>
      <c r="F137" s="207"/>
      <c r="G137" s="207"/>
      <c r="H137" s="207"/>
      <c r="I137" s="207"/>
      <c r="J137" s="207"/>
      <c r="K137" s="207"/>
      <c r="L137" s="207"/>
      <c r="M137" s="207"/>
    </row>
    <row r="138" spans="1:13">
      <c r="A138" s="207" t="s">
        <v>319</v>
      </c>
      <c r="B138" s="207"/>
      <c r="C138" s="207"/>
      <c r="D138" s="207"/>
      <c r="E138" s="207"/>
      <c r="F138" s="207"/>
      <c r="G138" s="207"/>
      <c r="H138" s="207"/>
      <c r="I138" s="207"/>
      <c r="J138" s="207"/>
      <c r="K138" s="207"/>
      <c r="L138" s="207"/>
      <c r="M138" s="207"/>
    </row>
    <row r="139" spans="1:13">
      <c r="A139" s="31"/>
      <c r="B139" s="31"/>
      <c r="C139" s="31"/>
      <c r="D139" s="31"/>
      <c r="E139" s="31"/>
      <c r="F139" s="31"/>
      <c r="G139" s="31"/>
      <c r="H139" s="31"/>
      <c r="I139" s="31"/>
      <c r="J139" s="31"/>
      <c r="K139" s="1"/>
      <c r="L139" s="1"/>
      <c r="M139" s="1"/>
    </row>
    <row r="140" spans="1:13" ht="21.75" customHeight="1">
      <c r="A140" s="220" t="s">
        <v>37</v>
      </c>
      <c r="B140" s="220"/>
      <c r="C140" s="220"/>
      <c r="D140" s="220"/>
      <c r="E140" s="220"/>
      <c r="F140" s="220"/>
      <c r="G140" s="220"/>
      <c r="H140" s="220"/>
      <c r="I140" s="220"/>
      <c r="J140" s="220"/>
      <c r="K140" s="220"/>
      <c r="L140" s="220"/>
      <c r="M140" s="220"/>
    </row>
    <row r="143" spans="1:13">
      <c r="A143" s="76"/>
      <c r="B143" s="155"/>
      <c r="C143" s="214"/>
      <c r="D143" s="203"/>
      <c r="E143" s="203"/>
      <c r="F143" s="203"/>
      <c r="G143" s="203"/>
      <c r="H143" s="200"/>
      <c r="I143" s="200"/>
      <c r="J143" s="200"/>
      <c r="K143" s="201"/>
      <c r="L143" s="201"/>
      <c r="M143" s="201"/>
    </row>
    <row r="144" spans="1:13">
      <c r="A144" s="76"/>
      <c r="B144" s="155"/>
      <c r="C144" s="214"/>
      <c r="D144" s="203"/>
      <c r="E144" s="203"/>
      <c r="F144" s="203"/>
      <c r="G144" s="203"/>
      <c r="H144" s="200"/>
      <c r="I144" s="200"/>
      <c r="J144" s="200"/>
      <c r="K144" s="201"/>
      <c r="L144" s="201"/>
      <c r="M144" s="201"/>
    </row>
    <row r="145" spans="1:13">
      <c r="A145" s="76"/>
      <c r="B145" s="155"/>
      <c r="C145" s="214"/>
      <c r="D145" s="203"/>
      <c r="E145" s="203"/>
      <c r="F145" s="203"/>
      <c r="G145" s="203"/>
      <c r="H145" s="200"/>
      <c r="I145" s="200"/>
      <c r="J145" s="200"/>
      <c r="K145" s="201"/>
      <c r="L145" s="201"/>
      <c r="M145" s="201"/>
    </row>
    <row r="147" spans="1:13" ht="12">
      <c r="F147" s="10"/>
    </row>
    <row r="148" spans="1:13" ht="12">
      <c r="F148" s="10"/>
    </row>
    <row r="149" spans="1:13" ht="12">
      <c r="F149" s="10"/>
    </row>
    <row r="150" spans="1:13" ht="12">
      <c r="F150" s="10"/>
    </row>
    <row r="151" spans="1:13" ht="17.25" customHeight="1">
      <c r="F151" s="10"/>
    </row>
    <row r="152" spans="1:13">
      <c r="A152" s="31"/>
      <c r="B152" s="31"/>
      <c r="C152" s="31"/>
      <c r="D152" s="31"/>
      <c r="E152" s="31"/>
      <c r="F152" s="31"/>
      <c r="G152" s="31"/>
      <c r="H152" s="31"/>
      <c r="I152" s="31"/>
      <c r="J152" s="31"/>
      <c r="K152" s="1"/>
      <c r="L152" s="1"/>
      <c r="M152" s="1"/>
    </row>
    <row r="153" spans="1:13">
      <c r="A153" s="31"/>
      <c r="B153" s="31"/>
      <c r="C153" s="31"/>
      <c r="D153" s="31"/>
      <c r="E153" s="31"/>
      <c r="F153" s="31"/>
      <c r="G153" s="31"/>
      <c r="H153" s="31"/>
      <c r="I153" s="31"/>
      <c r="J153" s="31"/>
      <c r="K153" s="1"/>
      <c r="L153" s="1"/>
      <c r="M153" s="1"/>
    </row>
  </sheetData>
  <sheetProtection sheet="1" objects="1" scenarios="1"/>
  <mergeCells count="2">
    <mergeCell ref="A136:M136"/>
    <mergeCell ref="A140:M140"/>
  </mergeCells>
  <phoneticPr fontId="16" type="noConversion"/>
  <pageMargins left="0.25" right="0.25" top="0.75" bottom="0.75" header="0.3" footer="0.3"/>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FE670-5AC8-4825-A85E-970481A8D04F}">
  <sheetPr>
    <pageSetUpPr fitToPage="1"/>
  </sheetPr>
  <dimension ref="A1:N56"/>
  <sheetViews>
    <sheetView topLeftCell="A19" zoomScaleNormal="100" workbookViewId="0">
      <selection activeCell="M19" sqref="M19"/>
    </sheetView>
  </sheetViews>
  <sheetFormatPr defaultColWidth="11.42578125" defaultRowHeight="13.5"/>
  <cols>
    <col min="1" max="1" width="8.5703125" style="10" customWidth="1"/>
    <col min="2" max="5" width="10.28515625" style="10" customWidth="1"/>
    <col min="6" max="6" width="10.28515625" style="1" customWidth="1"/>
    <col min="7" max="10" width="10.28515625" style="10" customWidth="1"/>
    <col min="11" max="16384" width="11.42578125" style="10"/>
  </cols>
  <sheetData>
    <row r="1" spans="1:14">
      <c r="A1" s="53" t="s">
        <v>195</v>
      </c>
      <c r="B1" s="54"/>
      <c r="C1" s="54"/>
      <c r="D1" s="54"/>
      <c r="E1" s="54"/>
      <c r="F1" s="54"/>
      <c r="G1" s="54"/>
      <c r="H1" s="54"/>
      <c r="I1" s="51"/>
      <c r="J1" s="51"/>
      <c r="K1" s="51"/>
    </row>
    <row r="2" spans="1:14">
      <c r="A2" s="54"/>
      <c r="B2" s="54"/>
      <c r="C2" s="54"/>
      <c r="D2" s="54"/>
      <c r="E2" s="54"/>
      <c r="F2" s="54"/>
      <c r="G2" s="54"/>
      <c r="H2" s="54"/>
      <c r="I2" s="51"/>
      <c r="J2" s="51"/>
      <c r="K2" s="51"/>
    </row>
    <row r="3" spans="1:14">
      <c r="A3" s="54" t="s">
        <v>1</v>
      </c>
      <c r="B3" s="59" t="s">
        <v>2</v>
      </c>
      <c r="C3" s="54"/>
      <c r="D3" s="54"/>
      <c r="E3" s="54"/>
      <c r="F3" s="60" t="s">
        <v>42</v>
      </c>
      <c r="G3" s="64"/>
      <c r="H3" s="64"/>
      <c r="I3" s="98" t="s">
        <v>31</v>
      </c>
      <c r="J3" s="61" t="s">
        <v>11</v>
      </c>
      <c r="K3" s="51"/>
    </row>
    <row r="4" spans="1:14">
      <c r="A4" s="54" t="s">
        <v>3</v>
      </c>
      <c r="B4" s="54" t="s">
        <v>4</v>
      </c>
      <c r="C4" s="54"/>
      <c r="D4" s="54"/>
      <c r="E4" s="54"/>
      <c r="F4" s="62" t="s">
        <v>98</v>
      </c>
      <c r="G4" s="66"/>
      <c r="H4" s="66"/>
      <c r="I4" s="19">
        <v>299800000</v>
      </c>
      <c r="J4" s="52" t="s">
        <v>46</v>
      </c>
      <c r="K4" s="51"/>
    </row>
    <row r="5" spans="1:14">
      <c r="A5" s="54" t="s">
        <v>5</v>
      </c>
      <c r="B5" s="54" t="s">
        <v>39</v>
      </c>
      <c r="C5" s="54"/>
      <c r="D5" s="54"/>
      <c r="E5" s="54"/>
      <c r="F5" s="62" t="s">
        <v>49</v>
      </c>
      <c r="G5" s="66"/>
      <c r="H5" s="66"/>
      <c r="I5" s="19">
        <v>8.8539999999999992E-12</v>
      </c>
      <c r="J5" s="52" t="s">
        <v>50</v>
      </c>
      <c r="K5" s="51"/>
    </row>
    <row r="6" spans="1:14">
      <c r="A6" s="54"/>
      <c r="B6" s="54"/>
      <c r="C6" s="54"/>
      <c r="D6" s="54"/>
      <c r="E6" s="54"/>
      <c r="F6" s="62" t="s">
        <v>53</v>
      </c>
      <c r="G6" s="66"/>
      <c r="H6" s="66"/>
      <c r="I6" s="19">
        <f>4*PI()*0.0000001</f>
        <v>1.2566370614359173E-6</v>
      </c>
      <c r="J6" s="52" t="s">
        <v>54</v>
      </c>
      <c r="K6" s="51"/>
    </row>
    <row r="7" spans="1:14">
      <c r="B7" s="51"/>
      <c r="C7" s="51"/>
      <c r="D7" s="51"/>
      <c r="E7" s="51"/>
      <c r="F7" s="54"/>
      <c r="G7" s="51"/>
      <c r="H7" s="51"/>
      <c r="I7" s="51"/>
      <c r="J7" s="51"/>
      <c r="K7" s="51"/>
    </row>
    <row r="8" spans="1:14">
      <c r="A8" s="54" t="s">
        <v>196</v>
      </c>
      <c r="B8" s="51"/>
      <c r="C8" s="51"/>
      <c r="D8" s="51"/>
      <c r="E8" s="51"/>
      <c r="F8" s="54"/>
      <c r="G8" s="51"/>
      <c r="H8" s="51"/>
      <c r="I8" s="51"/>
      <c r="J8" s="51"/>
      <c r="K8" s="51"/>
    </row>
    <row r="9" spans="1:14">
      <c r="K9" s="6"/>
      <c r="L9" s="6"/>
      <c r="M9" s="6"/>
      <c r="N9" s="6"/>
    </row>
    <row r="10" spans="1:14">
      <c r="K10" s="6"/>
      <c r="L10" s="6"/>
      <c r="M10" s="6"/>
      <c r="N10" s="6"/>
    </row>
    <row r="11" spans="1:14">
      <c r="A11" s="60" t="s">
        <v>10</v>
      </c>
      <c r="B11" s="60"/>
      <c r="C11" s="60"/>
      <c r="D11" s="61" t="s">
        <v>11</v>
      </c>
      <c r="E11" s="66"/>
      <c r="K11" s="6"/>
      <c r="L11" s="6"/>
      <c r="M11" s="6"/>
      <c r="N11" s="6"/>
    </row>
    <row r="12" spans="1:14">
      <c r="A12" s="54" t="s">
        <v>96</v>
      </c>
      <c r="B12" s="54"/>
      <c r="C12" s="62"/>
      <c r="D12" s="52" t="s">
        <v>97</v>
      </c>
      <c r="E12" s="66"/>
      <c r="K12" s="6"/>
      <c r="L12" s="6"/>
      <c r="M12" s="6"/>
      <c r="N12" s="6"/>
    </row>
    <row r="13" spans="1:14">
      <c r="A13" s="54" t="s">
        <v>99</v>
      </c>
      <c r="B13" s="54"/>
      <c r="C13" s="62"/>
      <c r="D13" s="52" t="s">
        <v>100</v>
      </c>
      <c r="E13" s="66"/>
      <c r="K13" s="6"/>
      <c r="L13" s="6"/>
      <c r="M13" s="6"/>
      <c r="N13" s="6"/>
    </row>
    <row r="14" spans="1:14">
      <c r="A14" s="62" t="s">
        <v>101</v>
      </c>
      <c r="B14" s="54"/>
      <c r="C14" s="62"/>
      <c r="D14" s="52" t="s">
        <v>103</v>
      </c>
      <c r="E14" s="66"/>
      <c r="K14" s="6"/>
      <c r="L14" s="6"/>
      <c r="M14" s="6"/>
      <c r="N14" s="6"/>
    </row>
    <row r="15" spans="1:14">
      <c r="A15" s="62" t="s">
        <v>104</v>
      </c>
      <c r="B15" s="54"/>
      <c r="C15" s="62"/>
      <c r="D15" s="52" t="s">
        <v>103</v>
      </c>
      <c r="E15" s="66"/>
      <c r="F15" s="66"/>
      <c r="G15" s="66"/>
      <c r="H15" s="66"/>
      <c r="I15" s="66"/>
      <c r="J15" s="66"/>
      <c r="K15" s="6"/>
      <c r="L15" s="6"/>
      <c r="M15" s="6"/>
      <c r="N15" s="6"/>
    </row>
    <row r="16" spans="1:14">
      <c r="A16" s="54" t="s">
        <v>117</v>
      </c>
      <c r="B16" s="54"/>
      <c r="C16" s="62"/>
      <c r="D16" s="52" t="s">
        <v>118</v>
      </c>
      <c r="E16" s="66"/>
      <c r="F16" s="66"/>
      <c r="G16" s="66"/>
      <c r="H16" s="66"/>
      <c r="I16" s="66"/>
      <c r="J16" s="66"/>
      <c r="K16" s="6"/>
      <c r="L16" s="6"/>
      <c r="M16" s="6"/>
      <c r="N16" s="6"/>
    </row>
    <row r="17" spans="1:14">
      <c r="A17" s="54" t="s">
        <v>119</v>
      </c>
      <c r="B17" s="54"/>
      <c r="C17" s="62"/>
      <c r="D17" s="52" t="s">
        <v>118</v>
      </c>
      <c r="E17" s="66"/>
      <c r="F17" s="66"/>
      <c r="G17" s="66"/>
      <c r="H17" s="66"/>
      <c r="I17" s="66"/>
      <c r="J17" s="66"/>
      <c r="K17" s="6"/>
      <c r="L17" s="6"/>
      <c r="M17" s="6"/>
      <c r="N17" s="6"/>
    </row>
    <row r="18" spans="1:14">
      <c r="A18" s="54" t="s">
        <v>192</v>
      </c>
      <c r="B18" s="54"/>
      <c r="C18" s="128"/>
      <c r="D18" s="52" t="s">
        <v>194</v>
      </c>
      <c r="E18" s="66"/>
      <c r="F18" s="66"/>
      <c r="G18" s="66"/>
      <c r="H18" s="66"/>
      <c r="I18" s="66"/>
      <c r="J18" s="66"/>
      <c r="K18" s="6"/>
      <c r="L18" s="6"/>
      <c r="M18" s="6"/>
      <c r="N18" s="6"/>
    </row>
    <row r="19" spans="1:14">
      <c r="A19" s="54" t="s">
        <v>193</v>
      </c>
      <c r="B19" s="54"/>
      <c r="C19" s="128"/>
      <c r="D19" s="52" t="s">
        <v>194</v>
      </c>
      <c r="E19" s="66"/>
      <c r="F19" s="66"/>
      <c r="G19" s="66"/>
      <c r="H19" s="66"/>
      <c r="I19" s="66"/>
      <c r="J19" s="66"/>
      <c r="K19" s="6"/>
      <c r="L19" s="6"/>
      <c r="M19" s="6"/>
      <c r="N19" s="6"/>
    </row>
    <row r="20" spans="1:14">
      <c r="A20" s="54"/>
      <c r="B20" s="54"/>
      <c r="C20" s="128"/>
      <c r="D20" s="76"/>
      <c r="E20" s="66"/>
      <c r="F20" s="66"/>
      <c r="G20" s="66"/>
      <c r="H20" s="66"/>
      <c r="I20" s="66"/>
      <c r="J20" s="66"/>
    </row>
    <row r="21" spans="1:14">
      <c r="A21" s="67"/>
      <c r="B21" s="67"/>
      <c r="C21" s="110"/>
      <c r="D21" s="110"/>
      <c r="E21" s="68"/>
      <c r="F21" s="68"/>
      <c r="G21" s="68"/>
      <c r="H21" s="68"/>
      <c r="I21" s="68"/>
      <c r="J21" s="68"/>
    </row>
    <row r="22" spans="1:14">
      <c r="A22" s="65" t="s">
        <v>120</v>
      </c>
      <c r="B22" s="118"/>
      <c r="C22" s="118"/>
      <c r="D22" s="60"/>
      <c r="E22" s="60"/>
      <c r="F22" s="55"/>
      <c r="G22" s="55"/>
      <c r="H22" s="56"/>
      <c r="I22" s="55"/>
      <c r="J22" s="118"/>
    </row>
    <row r="23" spans="1:14">
      <c r="A23" s="56" t="s">
        <v>121</v>
      </c>
      <c r="B23" s="118"/>
      <c r="C23" s="118"/>
      <c r="D23" s="60"/>
      <c r="E23" s="60"/>
      <c r="F23" s="64"/>
      <c r="G23" s="64"/>
      <c r="H23" s="119"/>
      <c r="I23" s="55"/>
      <c r="J23" s="118"/>
    </row>
    <row r="24" spans="1:14">
      <c r="A24" s="60" t="s">
        <v>30</v>
      </c>
      <c r="B24" s="60"/>
      <c r="C24" s="39" t="s">
        <v>31</v>
      </c>
      <c r="D24" s="79" t="s">
        <v>11</v>
      </c>
      <c r="E24" s="80" t="s">
        <v>32</v>
      </c>
      <c r="F24" s="64"/>
      <c r="G24" s="64"/>
      <c r="H24" s="119"/>
      <c r="I24" s="55"/>
      <c r="J24" s="118"/>
    </row>
    <row r="25" spans="1:14" ht="15.75" customHeight="1">
      <c r="A25" s="52" t="s">
        <v>101</v>
      </c>
      <c r="C25" s="13" t="s">
        <v>102</v>
      </c>
      <c r="D25" s="51" t="s">
        <v>103</v>
      </c>
      <c r="E25" s="52" t="s">
        <v>122</v>
      </c>
      <c r="F25" s="51"/>
      <c r="G25" s="51"/>
      <c r="H25" s="54"/>
      <c r="I25" s="77"/>
    </row>
    <row r="26" spans="1:14">
      <c r="A26" s="101" t="s">
        <v>104</v>
      </c>
      <c r="B26" s="20"/>
      <c r="C26" s="29" t="s">
        <v>102</v>
      </c>
      <c r="D26" s="57" t="s">
        <v>103</v>
      </c>
      <c r="E26" s="101" t="s">
        <v>123</v>
      </c>
      <c r="F26" s="57"/>
      <c r="G26" s="57"/>
      <c r="H26" s="67"/>
      <c r="I26" s="57"/>
      <c r="J26" s="20"/>
    </row>
    <row r="27" spans="1:14">
      <c r="A27" s="65" t="s">
        <v>36</v>
      </c>
      <c r="B27" s="20"/>
      <c r="C27" s="23"/>
      <c r="D27" s="99"/>
      <c r="E27" s="100" t="s">
        <v>112</v>
      </c>
      <c r="F27" s="117" t="s">
        <v>124</v>
      </c>
      <c r="G27" s="102" t="s">
        <v>32</v>
      </c>
      <c r="H27" s="58"/>
      <c r="I27" s="58"/>
      <c r="J27" s="118"/>
    </row>
    <row r="28" spans="1:14">
      <c r="A28" s="54" t="s">
        <v>96</v>
      </c>
      <c r="B28" s="54"/>
      <c r="C28" s="13" t="s">
        <v>125</v>
      </c>
      <c r="D28" s="76" t="s">
        <v>126</v>
      </c>
      <c r="E28" s="22"/>
      <c r="F28" s="24">
        <f>$I$4/(C28*SQRT(C25*C26))</f>
        <v>0.29980000000000001</v>
      </c>
      <c r="G28" s="52" t="s">
        <v>127</v>
      </c>
      <c r="H28" s="50"/>
      <c r="I28" s="77"/>
    </row>
    <row r="29" spans="1:14" s="21" customFormat="1">
      <c r="A29" s="54" t="s">
        <v>99</v>
      </c>
      <c r="B29" s="54"/>
      <c r="C29" s="13" t="s">
        <v>128</v>
      </c>
      <c r="D29" s="76" t="s">
        <v>100</v>
      </c>
      <c r="E29" s="25">
        <f>$I$4/(C29*SQRT(C25*C26))</f>
        <v>2126241134.7517734</v>
      </c>
      <c r="F29" s="4"/>
      <c r="G29" s="52" t="s">
        <v>127</v>
      </c>
      <c r="H29" s="50"/>
      <c r="I29" s="51"/>
      <c r="J29" s="10"/>
    </row>
    <row r="30" spans="1:14" s="28" customFormat="1">
      <c r="A30" s="10"/>
      <c r="B30" s="10"/>
      <c r="C30" s="10"/>
      <c r="D30" s="10"/>
      <c r="E30" s="10"/>
      <c r="F30" s="1"/>
      <c r="G30" s="10"/>
      <c r="H30" s="10"/>
      <c r="I30" s="10"/>
      <c r="J30" s="10"/>
    </row>
    <row r="32" spans="1:14">
      <c r="H32" s="27"/>
    </row>
    <row r="37" spans="1:7">
      <c r="A37" s="233" t="s">
        <v>129</v>
      </c>
      <c r="B37" s="233"/>
      <c r="C37" s="233"/>
      <c r="D37" s="233"/>
      <c r="E37" s="233"/>
      <c r="F37" s="233"/>
      <c r="G37" s="233"/>
    </row>
    <row r="38" spans="1:7" s="28" customFormat="1">
      <c r="A38" s="47"/>
      <c r="B38" s="46" t="s">
        <v>130</v>
      </c>
      <c r="C38" s="46" t="s">
        <v>131</v>
      </c>
      <c r="D38" s="46" t="s">
        <v>132</v>
      </c>
      <c r="E38" s="46" t="s">
        <v>133</v>
      </c>
      <c r="F38" s="48" t="s">
        <v>134</v>
      </c>
      <c r="G38" s="48" t="s">
        <v>135</v>
      </c>
    </row>
    <row r="39" spans="1:7">
      <c r="A39" s="46"/>
      <c r="B39" s="46" t="s">
        <v>136</v>
      </c>
      <c r="C39" s="46"/>
      <c r="D39" s="46"/>
      <c r="E39" s="46"/>
      <c r="F39" s="48"/>
      <c r="G39" s="46"/>
    </row>
    <row r="42" spans="1:7" ht="12" customHeight="1">
      <c r="A42" s="234" t="s">
        <v>37</v>
      </c>
      <c r="B42" s="234"/>
      <c r="C42" s="234"/>
      <c r="D42" s="234"/>
      <c r="E42" s="234"/>
      <c r="F42" s="234"/>
    </row>
    <row r="43" spans="1:7" ht="12">
      <c r="A43" s="234"/>
      <c r="B43" s="234"/>
      <c r="C43" s="234"/>
      <c r="D43" s="234"/>
      <c r="E43" s="234"/>
      <c r="F43" s="234"/>
    </row>
    <row r="44" spans="1:7" ht="12">
      <c r="A44" s="234"/>
      <c r="B44" s="234"/>
      <c r="C44" s="234"/>
      <c r="D44" s="234"/>
      <c r="E44" s="234"/>
      <c r="F44" s="234"/>
    </row>
    <row r="46" spans="1:7">
      <c r="A46" s="10" t="s">
        <v>189</v>
      </c>
    </row>
    <row r="49" spans="1:2">
      <c r="A49" s="10" t="s">
        <v>190</v>
      </c>
      <c r="B49" s="10" t="s">
        <v>191</v>
      </c>
    </row>
    <row r="50" spans="1:2">
      <c r="A50" s="10">
        <v>1E-3</v>
      </c>
      <c r="B50" s="10">
        <f>SQRT(60)</f>
        <v>7.745966692414834</v>
      </c>
    </row>
    <row r="51" spans="1:2">
      <c r="A51" s="10">
        <v>0.01</v>
      </c>
    </row>
    <row r="52" spans="1:2">
      <c r="A52" s="10">
        <v>0.1</v>
      </c>
    </row>
    <row r="53" spans="1:2">
      <c r="A53" s="10">
        <v>1</v>
      </c>
    </row>
    <row r="54" spans="1:2">
      <c r="A54" s="10">
        <v>10</v>
      </c>
    </row>
    <row r="55" spans="1:2">
      <c r="A55" s="10">
        <v>100</v>
      </c>
    </row>
    <row r="56" spans="1:2">
      <c r="A56" s="10">
        <v>1000</v>
      </c>
    </row>
  </sheetData>
  <mergeCells count="2">
    <mergeCell ref="A37:G37"/>
    <mergeCell ref="A42:F44"/>
  </mergeCells>
  <pageMargins left="0.25" right="0.25" top="0.75" bottom="0.75" header="0.3" footer="0.3"/>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 dB⇄linear|Cable</vt:lpstr>
      <vt:lpstr> dB⇄linear|Free-Space</vt:lpstr>
      <vt:lpstr>NearField|FarField</vt:lpstr>
      <vt:lpstr>Γ⇄RL⇄VSWR</vt:lpstr>
      <vt:lpstr>Wavelength</vt:lpstr>
      <vt:lpstr>e_r</vt:lpstr>
      <vt:lpstr>e_reff</vt:lpstr>
      <vt:lpstr>Antennas&amp;Radiation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Reto Keller</dc:creator>
  <cp:keywords/>
  <dc:description/>
  <cp:lastModifiedBy>Reto Keller</cp:lastModifiedBy>
  <cp:revision/>
  <cp:lastPrinted>2020-08-07T09:22:14Z</cp:lastPrinted>
  <dcterms:created xsi:type="dcterms:W3CDTF">2020-05-02T14:09:43Z</dcterms:created>
  <dcterms:modified xsi:type="dcterms:W3CDTF">2020-08-07T12:34:33Z</dcterms:modified>
  <cp:category/>
  <cp:contentStatus/>
</cp:coreProperties>
</file>